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theme/themeOverride1.xml" ContentType="application/vnd.openxmlformats-officedocument.themeOverride+xml"/>
  <Override PartName="/xl/drawings/drawing5.xml" ContentType="application/vnd.openxmlformats-officedocument.drawing+xml"/>
  <Override PartName="/xl/charts/chart4.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2.xml" ContentType="application/vnd.openxmlformats-officedocument.themeOverride+xml"/>
  <Override PartName="/xl/drawings/drawing6.xml" ContentType="application/vnd.openxmlformats-officedocument.drawing+xml"/>
  <Override PartName="/xl/drawings/drawing7.xml" ContentType="application/vnd.openxmlformats-officedocument.drawing+xml"/>
  <Override PartName="/xl/charts/chart5.xml" ContentType="application/vnd.openxmlformats-officedocument.drawingml.chart+xml"/>
  <Override PartName="/xl/charts/style4.xml" ContentType="application/vnd.ms-office.chartstyle+xml"/>
  <Override PartName="/xl/charts/colors4.xml" ContentType="application/vnd.ms-office.chartcolorstyle+xml"/>
  <Override PartName="/xl/charts/chart6.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theme/themeOverride3.xml" ContentType="application/vnd.openxmlformats-officedocument.themeOverrid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https://d.docs.live.net/bdd07ceafb8d3c6b/Desktop/Akreditácia/"/>
    </mc:Choice>
  </mc:AlternateContent>
  <xr:revisionPtr revIDLastSave="14" documentId="8_{B32D8213-3CAC-445E-B356-71AE702AE46C}" xr6:coauthVersionLast="47" xr6:coauthVersionMax="47" xr10:uidLastSave="{C470EB9E-A053-4AF2-B6B7-77A4E120C2B2}"/>
  <bookViews>
    <workbookView xWindow="28680" yWindow="-120" windowWidth="29040" windowHeight="15840" tabRatio="868" firstSheet="1" activeTab="2" xr2:uid="{00000000-000D-0000-FFFF-FFFF00000000}"/>
  </bookViews>
  <sheets>
    <sheet name="_TM_Summary" sheetId="21" state="veryHidden" r:id="rId1"/>
    <sheet name="Title" sheetId="60" r:id="rId2"/>
    <sheet name="Projections" sheetId="63" r:id="rId3"/>
    <sheet name="P&amp;L_XYZ" sheetId="75" state="hidden" r:id="rId4"/>
    <sheet name="Predpoklady-XYZ" sheetId="69" state="hidden" r:id="rId5"/>
    <sheet name="P&amp;L_Short" sheetId="74" r:id="rId6"/>
    <sheet name="Assumptions" sheetId="79" r:id="rId7"/>
    <sheet name="Cash Flow_Quaterly" sheetId="81" r:id="rId8"/>
    <sheet name="NWC" sheetId="77" r:id="rId9"/>
    <sheet name="Scenario" sheetId="65" r:id="rId10"/>
    <sheet name="Predpoklady_SFR DSS" sheetId="73" state="hidden" r:id="rId11"/>
    <sheet name="Dlhová_služba" sheetId="72" state="hidden" r:id="rId12"/>
    <sheet name="Návratnosť projektu" sheetId="67" state="hidden" r:id="rId13"/>
    <sheet name="Benchmark&gt;&gt;&gt;" sheetId="80" state="hidden" r:id="rId14"/>
    <sheet name="Hárok1" sheetId="71" state="hidden" r:id="rId15"/>
    <sheet name="Dlhová služba" sheetId="64" state="hidden" r:id="rId16"/>
    <sheet name="Podklady-Banka" sheetId="76" state="hidden" r:id="rId17"/>
    <sheet name="Mngmt" sheetId="66" state="hidden" r:id="rId18"/>
    <sheet name="Historická analýza&gt;&gt;&gt;" sheetId="61" state="hidden" r:id="rId19"/>
    <sheet name="Skrátené výkazy" sheetId="3" state="hidden" r:id="rId20"/>
    <sheet name="Sumár" sheetId="20" state="hidden" r:id="rId21"/>
    <sheet name="Čisté aktíva" sheetId="54" state="hidden" r:id="rId22"/>
    <sheet name="Detailné výkazy" sheetId="4" state="hidden" r:id="rId23"/>
    <sheet name="_TM_TransCo" sheetId="50" state="veryHidden" r:id="rId24"/>
    <sheet name="_TM_Sheet1" sheetId="52" state="veryHidden" r:id="rId25"/>
    <sheet name="_TM_NWC" sheetId="36" state="veryHidden" r:id="rId26"/>
    <sheet name="_TM_Pohladavky vyvoj" sheetId="37" state="veryHidden" r:id="rId27"/>
    <sheet name="_TM_Zavazky vyvoj" sheetId="38" state="veryHidden" r:id="rId28"/>
    <sheet name="_TM_Zasoby vyvoj" sheetId="39" state="veryHidden" r:id="rId29"/>
    <sheet name="_TM_Zamestnanci vyvoj" sheetId="40" state="veryHidden" r:id="rId30"/>
    <sheet name="_TM_Produktivita zamestnancov" sheetId="49" state="veryHidden" r:id="rId31"/>
    <sheet name="_TM_TransCo Data" sheetId="58" state="veryHidden" r:id="rId32"/>
    <sheet name="Market" sheetId="82" state="hidden" r:id="rId33"/>
    <sheet name="_Market" sheetId="83" r:id="rId34"/>
    <sheet name="Aktíva" sheetId="5" state="hidden" r:id="rId35"/>
    <sheet name="Pasíva" sheetId="6" state="hidden" r:id="rId36"/>
    <sheet name="Výkaz ziskov a strát" sheetId="7" state="hidden" r:id="rId37"/>
    <sheet name="CAGR SK" sheetId="59" state="hidden" r:id="rId38"/>
  </sheets>
  <definedNames>
    <definedName name="_xlnm._FilterDatabase" localSheetId="34" hidden="1">Aktíva!$B$3:$J$68</definedName>
    <definedName name="_xlnm._FilterDatabase" localSheetId="35" hidden="1">Pasíva!$B$3:$K$63</definedName>
    <definedName name="_xlnm._FilterDatabase" localSheetId="36" hidden="1">'Výkaz ziskov a strát'!$B$3:$O$64</definedName>
    <definedName name="asd" localSheetId="15">#REF!</definedName>
    <definedName name="asd" localSheetId="17">#REF!</definedName>
    <definedName name="asd" localSheetId="12">#REF!</definedName>
    <definedName name="asd" localSheetId="9">#REF!</definedName>
    <definedName name="asd" localSheetId="1">#REF!</definedName>
    <definedName name="asd">#REF!</definedName>
    <definedName name="CelkoveInvVydavky" localSheetId="12">#REF!</definedName>
    <definedName name="CelkoveInvVydavky">#REF!</definedName>
    <definedName name="CelkoveOpravneneVydavky" localSheetId="12">#REF!</definedName>
    <definedName name="CelkoveOpravneneVydavky">#REF!</definedName>
    <definedName name="CIQWBGuid" hidden="1">"2cd8126d-26c3-430c-b7fa-a069e3a1fc62"</definedName>
    <definedName name="Forecast" localSheetId="15">#REF!</definedName>
    <definedName name="Forecast" localSheetId="17">#REF!</definedName>
    <definedName name="Forecast" localSheetId="12">#REF!</definedName>
    <definedName name="Forecast" localSheetId="9">#REF!</definedName>
    <definedName name="Forecast" localSheetId="1">#REF!</definedName>
    <definedName name="Forecast">#REF!</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CH" hidden="1">110000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41666.7099189815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KodTypuZiadatela" localSheetId="12">#REF!</definedName>
    <definedName name="KodTypuZiadatela">#REF!</definedName>
    <definedName name="_xlnm.Print_Titles" localSheetId="15">'Dlhová služba'!$1:$3</definedName>
    <definedName name="_xlnm.Print_Titles" localSheetId="12">'Návratnosť projektu'!$1:$3</definedName>
    <definedName name="_xlnm.Print_Titles" localSheetId="9">Scenario!$1:$3</definedName>
    <definedName name="New" localSheetId="12">#REF!</definedName>
    <definedName name="new">#REF!</definedName>
    <definedName name="NFP" localSheetId="12">#REF!</definedName>
    <definedName name="NFP">#REF!</definedName>
    <definedName name="No" localSheetId="21">'Detailné výkazy'!#REF!</definedName>
    <definedName name="No" localSheetId="15">#REF!</definedName>
    <definedName name="No" localSheetId="17">#REF!</definedName>
    <definedName name="No" localSheetId="12">#REF!</definedName>
    <definedName name="No" localSheetId="9">#REF!</definedName>
    <definedName name="No" localSheetId="1">#REF!</definedName>
    <definedName name="No">'Detailné výkazy'!#REF!</definedName>
    <definedName name="_xlnm.Print_Area" localSheetId="15">'Dlhová služba'!$A$1:$K$4</definedName>
    <definedName name="_xlnm.Print_Area" localSheetId="12">'Návratnosť projektu'!$A$1:$JI$72</definedName>
    <definedName name="_xlnm.Print_Area" localSheetId="9">Scenario!$A$1:$M$4</definedName>
    <definedName name="_xlnm.Print_Area" localSheetId="1">Title!$A$1:$O$34</definedName>
    <definedName name="PercentoNFP" localSheetId="12">#REF!</definedName>
    <definedName name="PercentoNFP">#REF!</definedName>
    <definedName name="PevnaIntenzita" localSheetId="12">#REF!</definedName>
    <definedName name="PevnaIntenzita">#REF!</definedName>
    <definedName name="PodielZdrojovEU" localSheetId="12">#REF!</definedName>
    <definedName name="PodielZdrojovEU">#REF!</definedName>
    <definedName name="PodielZdrojovSR" localSheetId="12">#REF!</definedName>
    <definedName name="PodielZdrojovSR">#REF!</definedName>
    <definedName name="SkupinaVýdavkov" localSheetId="12">#REF!</definedName>
    <definedName name="SkupinaVýdavkov">#REF!</definedName>
    <definedName name="StatnaPomoc" localSheetId="12">#REF!</definedName>
    <definedName name="StatnaPomoc">#REF!</definedName>
    <definedName name="Step_1" localSheetId="15">#REF!</definedName>
    <definedName name="Step_1" localSheetId="17">#REF!</definedName>
    <definedName name="Step_1" localSheetId="12">#REF!</definedName>
    <definedName name="Step_1" localSheetId="9">#REF!</definedName>
    <definedName name="Step_1" localSheetId="1">#REF!</definedName>
    <definedName name="Step_1">#REF!</definedName>
    <definedName name="Step_2" localSheetId="15">#REF!</definedName>
    <definedName name="Step_2" localSheetId="17">#REF!</definedName>
    <definedName name="Step_2" localSheetId="12">#REF!</definedName>
    <definedName name="Step_2" localSheetId="9">#REF!</definedName>
    <definedName name="Step_2" localSheetId="1">#REF!</definedName>
    <definedName name="Step_2">#REF!</definedName>
    <definedName name="Step_3" localSheetId="15">#REF!</definedName>
    <definedName name="Step_3" localSheetId="17">#REF!</definedName>
    <definedName name="Step_3" localSheetId="12">#REF!</definedName>
    <definedName name="Step_3" localSheetId="9">#REF!</definedName>
    <definedName name="Step_3" localSheetId="1">#REF!</definedName>
    <definedName name="Step_3">#REF!</definedName>
    <definedName name="Step_4" localSheetId="15">#REF!</definedName>
    <definedName name="Step_4" localSheetId="17">#REF!</definedName>
    <definedName name="Step_4" localSheetId="12">#REF!</definedName>
    <definedName name="Step_4" localSheetId="9">#REF!</definedName>
    <definedName name="Step_4" localSheetId="1">#REF!</definedName>
    <definedName name="Step_4">#REF!</definedName>
    <definedName name="Step_5" localSheetId="15">#REF!</definedName>
    <definedName name="Step_5" localSheetId="17">#REF!</definedName>
    <definedName name="Step_5" localSheetId="12">#REF!</definedName>
    <definedName name="Step_5" localSheetId="9">#REF!</definedName>
    <definedName name="Step_5" localSheetId="1">#REF!</definedName>
    <definedName name="Step_5">#REF!</definedName>
    <definedName name="Step_6" localSheetId="15">#REF!</definedName>
    <definedName name="Step_6" localSheetId="17">#REF!</definedName>
    <definedName name="Step_6" localSheetId="12">#REF!</definedName>
    <definedName name="Step_6" localSheetId="9">#REF!</definedName>
    <definedName name="Step_6" localSheetId="1">#REF!</definedName>
    <definedName name="Step_6">#REF!</definedName>
    <definedName name="Step1" localSheetId="15">#REF!</definedName>
    <definedName name="Step1" localSheetId="17">#REF!</definedName>
    <definedName name="Step1" localSheetId="12">#REF!</definedName>
    <definedName name="Step1" localSheetId="9">#REF!</definedName>
    <definedName name="Step1" localSheetId="1">#REF!</definedName>
    <definedName name="Step1">#REF!</definedName>
    <definedName name="Step2" localSheetId="15">#REF!</definedName>
    <definedName name="Step2" localSheetId="17">#REF!</definedName>
    <definedName name="Step2" localSheetId="12">#REF!</definedName>
    <definedName name="Step2" localSheetId="9">#REF!</definedName>
    <definedName name="Step2" localSheetId="1">#REF!</definedName>
    <definedName name="Step2">#REF!</definedName>
    <definedName name="Step3" localSheetId="15">#REF!</definedName>
    <definedName name="Step3" localSheetId="17">#REF!</definedName>
    <definedName name="Step3" localSheetId="12">#REF!</definedName>
    <definedName name="Step3" localSheetId="9">#REF!</definedName>
    <definedName name="Step3" localSheetId="1">#REF!</definedName>
    <definedName name="Step3">#REF!</definedName>
    <definedName name="Step4" localSheetId="15">#REF!</definedName>
    <definedName name="Step4" localSheetId="17">#REF!</definedName>
    <definedName name="Step4" localSheetId="12">#REF!</definedName>
    <definedName name="Step4" localSheetId="9">#REF!</definedName>
    <definedName name="Step4" localSheetId="1">#REF!</definedName>
    <definedName name="Step4">#REF!</definedName>
    <definedName name="Step5" localSheetId="15">#REF!</definedName>
    <definedName name="Step5" localSheetId="17">#REF!</definedName>
    <definedName name="Step5" localSheetId="12">#REF!</definedName>
    <definedName name="Step5" localSheetId="9">#REF!</definedName>
    <definedName name="Step5" localSheetId="1">#REF!</definedName>
    <definedName name="Step5">#REF!</definedName>
    <definedName name="Step6" localSheetId="15">#REF!</definedName>
    <definedName name="Step6" localSheetId="17">#REF!</definedName>
    <definedName name="Step6" localSheetId="12">#REF!</definedName>
    <definedName name="Step6" localSheetId="9">#REF!</definedName>
    <definedName name="Step6" localSheetId="1">#REF!</definedName>
    <definedName name="Step6">#REF!</definedName>
    <definedName name="sum" localSheetId="12">#REF!</definedName>
    <definedName name="sum">#REF!</definedName>
    <definedName name="Units" localSheetId="21">'Čisté aktíva'!$E$4</definedName>
    <definedName name="Units" localSheetId="15">#REF!</definedName>
    <definedName name="Units" localSheetId="17">#REF!</definedName>
    <definedName name="Units" localSheetId="12">#REF!</definedName>
    <definedName name="Units" localSheetId="2">Projections!$F$4</definedName>
    <definedName name="Units" localSheetId="9">#REF!</definedName>
    <definedName name="Units" localSheetId="1">#REF!</definedName>
    <definedName name="Units">'Skrátené výkazy'!$E$4</definedName>
    <definedName name="Worst">'P&amp;L_Short'!$D$5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 i="77" l="1"/>
  <c r="D6" i="77" s="1"/>
  <c r="F6" i="77"/>
  <c r="K6" i="77"/>
  <c r="L6" i="77"/>
  <c r="M6" i="77" s="1"/>
  <c r="N6" i="77" s="1"/>
  <c r="O6" i="77" s="1"/>
  <c r="L32" i="77"/>
  <c r="M32" i="77"/>
  <c r="N32" i="77"/>
  <c r="O32" i="77"/>
  <c r="L33" i="77"/>
  <c r="M33" i="77"/>
  <c r="N33" i="77"/>
  <c r="O33" i="77"/>
  <c r="L34" i="77"/>
  <c r="M34" i="77"/>
  <c r="N34" i="77" s="1"/>
  <c r="L35" i="77"/>
  <c r="M35" i="77"/>
  <c r="N35" i="77"/>
  <c r="O35" i="77"/>
  <c r="L37" i="77"/>
  <c r="M37" i="77"/>
  <c r="N37" i="77"/>
  <c r="O37" i="77"/>
  <c r="L38" i="77"/>
  <c r="M38" i="77"/>
  <c r="N38" i="77" s="1"/>
  <c r="L39" i="77"/>
  <c r="M39" i="77"/>
  <c r="N39" i="77"/>
  <c r="O39" i="77"/>
  <c r="D5" i="74"/>
  <c r="C2" i="63"/>
  <c r="D2" i="63"/>
  <c r="E38" i="79"/>
  <c r="O38" i="77" l="1"/>
  <c r="O34" i="77"/>
  <c r="J13" i="83"/>
  <c r="P12" i="83"/>
  <c r="P11" i="83"/>
  <c r="P8" i="83"/>
  <c r="P6" i="83"/>
  <c r="D12" i="83"/>
  <c r="E12" i="83"/>
  <c r="F12" i="83"/>
  <c r="G12" i="83"/>
  <c r="H12" i="83"/>
  <c r="I12" i="83"/>
  <c r="J12" i="83"/>
  <c r="K12" i="83"/>
  <c r="L12" i="83"/>
  <c r="M12" i="83"/>
  <c r="N12" i="83"/>
  <c r="O12" i="83"/>
  <c r="C12" i="83"/>
  <c r="D10" i="83"/>
  <c r="E10" i="83" s="1"/>
  <c r="F10" i="83" s="1"/>
  <c r="G10" i="83" s="1"/>
  <c r="H10" i="83" s="1"/>
  <c r="I10" i="83" s="1"/>
  <c r="J10" i="83" s="1"/>
  <c r="K10" i="83" s="1"/>
  <c r="L10" i="83" s="1"/>
  <c r="M10" i="83" s="1"/>
  <c r="N10" i="83" s="1"/>
  <c r="O10" i="83" s="1"/>
  <c r="D7" i="83"/>
  <c r="E7" i="83"/>
  <c r="F7" i="83"/>
  <c r="G7" i="83"/>
  <c r="H7" i="83"/>
  <c r="I7" i="83"/>
  <c r="J7" i="83"/>
  <c r="K7" i="83"/>
  <c r="L7" i="83"/>
  <c r="M7" i="83"/>
  <c r="N7" i="83"/>
  <c r="O7" i="83"/>
  <c r="P7" i="83" s="1"/>
  <c r="C7" i="83"/>
  <c r="M5" i="83"/>
  <c r="N5" i="83"/>
  <c r="O5" i="83"/>
  <c r="E5" i="83"/>
  <c r="F5" i="83"/>
  <c r="G5" i="83"/>
  <c r="H5" i="83"/>
  <c r="I5" i="83"/>
  <c r="J5" i="83"/>
  <c r="K5" i="83"/>
  <c r="L5" i="83"/>
  <c r="D5" i="83"/>
  <c r="F20" i="79" l="1"/>
  <c r="B2" i="74"/>
  <c r="G50" i="81"/>
  <c r="K50" i="81" s="1"/>
  <c r="L46" i="81"/>
  <c r="M46" i="81"/>
  <c r="N46" i="81"/>
  <c r="O46" i="81"/>
  <c r="P46" i="81"/>
  <c r="Q46" i="81"/>
  <c r="R46" i="81"/>
  <c r="S46" i="81"/>
  <c r="T46" i="81"/>
  <c r="U46" i="81"/>
  <c r="H46" i="81"/>
  <c r="I46" i="81"/>
  <c r="J46" i="81"/>
  <c r="K46" i="81"/>
  <c r="G46" i="81"/>
  <c r="R40" i="81"/>
  <c r="S40" i="81"/>
  <c r="T40" i="81"/>
  <c r="H39" i="81"/>
  <c r="H40" i="81" s="1"/>
  <c r="I39" i="81"/>
  <c r="I40" i="81" s="1"/>
  <c r="L39" i="81"/>
  <c r="L40" i="81" s="1"/>
  <c r="O39" i="81"/>
  <c r="O40" i="81" s="1"/>
  <c r="R39" i="81"/>
  <c r="S39" i="81"/>
  <c r="T39" i="81"/>
  <c r="Q20" i="81"/>
  <c r="Q39" i="81" s="1"/>
  <c r="Q40" i="81" s="1"/>
  <c r="N20" i="81"/>
  <c r="N39" i="81" s="1"/>
  <c r="N40" i="81" s="1"/>
  <c r="M20" i="81"/>
  <c r="M39" i="81" s="1"/>
  <c r="M40" i="81" s="1"/>
  <c r="G20" i="81"/>
  <c r="G39" i="81" s="1"/>
  <c r="G40" i="81" s="1"/>
  <c r="U17" i="81"/>
  <c r="P17" i="81"/>
  <c r="U16" i="81"/>
  <c r="P16" i="81"/>
  <c r="K16" i="81"/>
  <c r="K17" i="81"/>
  <c r="U18" i="81"/>
  <c r="P18" i="81"/>
  <c r="K18" i="81"/>
  <c r="U14" i="81"/>
  <c r="P14" i="81"/>
  <c r="K14" i="81"/>
  <c r="U13" i="81"/>
  <c r="P13" i="81"/>
  <c r="K13" i="81"/>
  <c r="U12" i="81"/>
  <c r="P12" i="81"/>
  <c r="K12" i="81"/>
  <c r="R24" i="81"/>
  <c r="S24" i="81" s="1"/>
  <c r="T24" i="81" s="1"/>
  <c r="M24" i="81"/>
  <c r="N24" i="81" s="1"/>
  <c r="O24" i="81" s="1"/>
  <c r="H24" i="81"/>
  <c r="I24" i="81" s="1"/>
  <c r="J24" i="81" s="1"/>
  <c r="U11" i="81"/>
  <c r="P11" i="81"/>
  <c r="K11" i="81"/>
  <c r="U9" i="81"/>
  <c r="P9" i="81"/>
  <c r="K9" i="81"/>
  <c r="U8" i="81"/>
  <c r="P8" i="81"/>
  <c r="K8" i="81"/>
  <c r="R6" i="81"/>
  <c r="S6" i="81" s="1"/>
  <c r="T6" i="81" s="1"/>
  <c r="M6" i="81"/>
  <c r="N6" i="81" s="1"/>
  <c r="O6" i="81" s="1"/>
  <c r="H6" i="81"/>
  <c r="I6" i="81" s="1"/>
  <c r="J6" i="81" s="1"/>
  <c r="K2" i="81"/>
  <c r="P2" i="81" s="1"/>
  <c r="U2" i="81" s="1"/>
  <c r="U24" i="81" s="1"/>
  <c r="P6" i="81" l="1"/>
  <c r="U6" i="81"/>
  <c r="K24" i="81"/>
  <c r="K6" i="81"/>
  <c r="P24" i="81"/>
  <c r="J83" i="63"/>
  <c r="I60" i="63"/>
  <c r="E154" i="79"/>
  <c r="I69" i="63"/>
  <c r="J69" i="63" s="1"/>
  <c r="I70" i="63"/>
  <c r="I59" i="63"/>
  <c r="J2" i="63"/>
  <c r="K43" i="65"/>
  <c r="L43" i="65" s="1"/>
  <c r="M43" i="65" s="1"/>
  <c r="N43" i="65" s="1"/>
  <c r="K39" i="65"/>
  <c r="L39" i="65" s="1"/>
  <c r="M39" i="65" s="1"/>
  <c r="N39" i="65" s="1"/>
  <c r="K35" i="65"/>
  <c r="L35" i="65" s="1"/>
  <c r="M35" i="65" s="1"/>
  <c r="N35" i="65" s="1"/>
  <c r="K9" i="65"/>
  <c r="L9" i="65" s="1"/>
  <c r="M9" i="65" s="1"/>
  <c r="N9" i="65" s="1"/>
  <c r="K8" i="65"/>
  <c r="L8" i="65" s="1"/>
  <c r="M8" i="65" s="1"/>
  <c r="N8" i="65" s="1"/>
  <c r="D5" i="65"/>
  <c r="B2" i="79"/>
  <c r="I205" i="79"/>
  <c r="J205" i="79"/>
  <c r="K205" i="79"/>
  <c r="L205" i="79"/>
  <c r="H205" i="79"/>
  <c r="L171" i="79"/>
  <c r="E163" i="79" l="1"/>
  <c r="I163" i="79" s="1"/>
  <c r="J20" i="81"/>
  <c r="J39" i="81" s="1"/>
  <c r="J40" i="81" s="1"/>
  <c r="K2" i="63"/>
  <c r="L2" i="63" s="1"/>
  <c r="M2" i="63" s="1"/>
  <c r="N2" i="63" s="1"/>
  <c r="E49" i="63"/>
  <c r="J49" i="63"/>
  <c r="J93" i="63"/>
  <c r="H132" i="79"/>
  <c r="H131" i="79"/>
  <c r="I31" i="74" s="1"/>
  <c r="H130" i="79"/>
  <c r="H129" i="79"/>
  <c r="H128" i="79"/>
  <c r="H127" i="79"/>
  <c r="H124" i="79"/>
  <c r="H52" i="79"/>
  <c r="I52" i="79" s="1"/>
  <c r="J52" i="79" s="1"/>
  <c r="K52" i="79" s="1"/>
  <c r="L52" i="79" s="1"/>
  <c r="H122" i="79"/>
  <c r="I105" i="79"/>
  <c r="J54" i="74" s="1"/>
  <c r="J105" i="79"/>
  <c r="K54" i="74" s="1"/>
  <c r="K105" i="79"/>
  <c r="L54" i="74" s="1"/>
  <c r="L105" i="79"/>
  <c r="M54" i="74" s="1"/>
  <c r="I106" i="79"/>
  <c r="J55" i="74" s="1"/>
  <c r="J106" i="79"/>
  <c r="K55" i="74" s="1"/>
  <c r="K106" i="79"/>
  <c r="L55" i="74" s="1"/>
  <c r="L106" i="79"/>
  <c r="M55" i="74" s="1"/>
  <c r="H106" i="79"/>
  <c r="I55" i="74" s="1"/>
  <c r="H105" i="79"/>
  <c r="I54" i="74" s="1"/>
  <c r="L102" i="79"/>
  <c r="K102" i="79"/>
  <c r="J102" i="79"/>
  <c r="I102" i="79"/>
  <c r="H102" i="79"/>
  <c r="L99" i="79"/>
  <c r="K99" i="79"/>
  <c r="J99" i="79"/>
  <c r="I99" i="79"/>
  <c r="H99" i="79"/>
  <c r="L96" i="79"/>
  <c r="K96" i="79"/>
  <c r="J96" i="79"/>
  <c r="I96" i="79"/>
  <c r="H96" i="79"/>
  <c r="L93" i="79"/>
  <c r="K93" i="79"/>
  <c r="J93" i="79"/>
  <c r="I93" i="79"/>
  <c r="H93" i="79"/>
  <c r="I90" i="79"/>
  <c r="J90" i="79"/>
  <c r="K90" i="79"/>
  <c r="L90" i="79"/>
  <c r="H90" i="79"/>
  <c r="G142" i="79"/>
  <c r="E159" i="79" s="1"/>
  <c r="H159" i="79" s="1"/>
  <c r="I24" i="79"/>
  <c r="I132" i="79" s="1"/>
  <c r="I159" i="79" l="1"/>
  <c r="I131" i="79"/>
  <c r="J31" i="74" s="1"/>
  <c r="I130" i="79"/>
  <c r="I129" i="79"/>
  <c r="I128" i="79"/>
  <c r="I127" i="79"/>
  <c r="H123" i="79"/>
  <c r="I29" i="74" s="1"/>
  <c r="K112" i="79"/>
  <c r="I123" i="79"/>
  <c r="I107" i="79"/>
  <c r="I124" i="79"/>
  <c r="J112" i="79"/>
  <c r="L112" i="79"/>
  <c r="H107" i="79"/>
  <c r="I122" i="79"/>
  <c r="J107" i="79"/>
  <c r="L107" i="79"/>
  <c r="K107" i="79"/>
  <c r="H112" i="79"/>
  <c r="I112" i="79"/>
  <c r="I150" i="73"/>
  <c r="J150" i="73"/>
  <c r="K150" i="73"/>
  <c r="L150" i="73"/>
  <c r="H150" i="73"/>
  <c r="I116" i="73"/>
  <c r="L116" i="73"/>
  <c r="K116" i="73"/>
  <c r="J116" i="73"/>
  <c r="H151" i="73"/>
  <c r="H29" i="67"/>
  <c r="G29" i="67"/>
  <c r="D64" i="72"/>
  <c r="D65" i="72"/>
  <c r="C65" i="72"/>
  <c r="C64" i="72"/>
  <c r="F53" i="72"/>
  <c r="G53" i="72" s="1"/>
  <c r="H53" i="72" s="1"/>
  <c r="I53" i="72" s="1"/>
  <c r="J53" i="72" s="1"/>
  <c r="K53" i="72" s="1"/>
  <c r="L53" i="72" s="1"/>
  <c r="F52" i="72"/>
  <c r="J29" i="74" l="1"/>
  <c r="J159" i="79"/>
  <c r="K159" i="79" s="1"/>
  <c r="L159" i="79" s="1"/>
  <c r="G52" i="72"/>
  <c r="F45" i="72"/>
  <c r="G45" i="72" s="1"/>
  <c r="H45" i="72" s="1"/>
  <c r="I45" i="72" s="1"/>
  <c r="J45" i="72" s="1"/>
  <c r="K45" i="72" s="1"/>
  <c r="L45" i="72" s="1"/>
  <c r="M45" i="72" s="1"/>
  <c r="N45" i="72" s="1"/>
  <c r="O45" i="72" s="1"/>
  <c r="P45" i="72" s="1"/>
  <c r="Q45" i="72" s="1"/>
  <c r="R45" i="72" s="1"/>
  <c r="S45" i="72" s="1"/>
  <c r="F44" i="72"/>
  <c r="F36" i="72"/>
  <c r="G36" i="72" s="1"/>
  <c r="H36" i="72" s="1"/>
  <c r="I36" i="72" s="1"/>
  <c r="J36" i="72" s="1"/>
  <c r="K36" i="72" s="1"/>
  <c r="L36" i="72" s="1"/>
  <c r="M36" i="72" s="1"/>
  <c r="N36" i="72" s="1"/>
  <c r="O36" i="72" s="1"/>
  <c r="P36" i="72" s="1"/>
  <c r="Q36" i="72" s="1"/>
  <c r="R36" i="72" s="1"/>
  <c r="S36" i="72" s="1"/>
  <c r="T36" i="72" s="1"/>
  <c r="H2" i="72"/>
  <c r="B2" i="72"/>
  <c r="F49" i="63"/>
  <c r="G49" i="63" s="1"/>
  <c r="H49" i="63" s="1"/>
  <c r="I49" i="63" s="1"/>
  <c r="H148" i="79"/>
  <c r="I148" i="79"/>
  <c r="P20" i="81" s="1"/>
  <c r="P39" i="81" s="1"/>
  <c r="P40" i="81" s="1"/>
  <c r="J148" i="79"/>
  <c r="U20" i="81" s="1"/>
  <c r="U39" i="81" s="1"/>
  <c r="U40" i="81" s="1"/>
  <c r="K148" i="79"/>
  <c r="L148" i="79"/>
  <c r="I87" i="79"/>
  <c r="I111" i="79" s="1"/>
  <c r="I116" i="79" s="1"/>
  <c r="J87" i="79"/>
  <c r="J111" i="79" s="1"/>
  <c r="J116" i="79" s="1"/>
  <c r="K87" i="79"/>
  <c r="K111" i="79" s="1"/>
  <c r="K116" i="79" s="1"/>
  <c r="L87" i="79"/>
  <c r="L111" i="79" s="1"/>
  <c r="L116" i="79" s="1"/>
  <c r="H87" i="79"/>
  <c r="H2" i="79"/>
  <c r="I23" i="79"/>
  <c r="J23" i="79" s="1"/>
  <c r="H21" i="79"/>
  <c r="H20" i="79"/>
  <c r="I20" i="79" s="1"/>
  <c r="J20" i="79" s="1"/>
  <c r="K20" i="79" s="1"/>
  <c r="L20" i="79" s="1"/>
  <c r="B2" i="73"/>
  <c r="F37" i="72"/>
  <c r="G37" i="72" s="1"/>
  <c r="H37" i="72" s="1"/>
  <c r="I37" i="72" s="1"/>
  <c r="J37" i="72" s="1"/>
  <c r="K37" i="72" s="1"/>
  <c r="L37" i="72" s="1"/>
  <c r="M37" i="72" s="1"/>
  <c r="N37" i="72" s="1"/>
  <c r="O37" i="72" s="1"/>
  <c r="P37" i="72" s="1"/>
  <c r="Q37" i="72" s="1"/>
  <c r="R37" i="72" s="1"/>
  <c r="S37" i="72" s="1"/>
  <c r="T37" i="72" s="1"/>
  <c r="U37" i="72" s="1"/>
  <c r="V37" i="72" s="1"/>
  <c r="W37" i="72" s="1"/>
  <c r="X37" i="72" s="1"/>
  <c r="I2" i="74" l="1"/>
  <c r="I60" i="74" s="1"/>
  <c r="J60" i="74" s="1"/>
  <c r="K60" i="74" s="1"/>
  <c r="L60" i="74" s="1"/>
  <c r="M60" i="74" s="1"/>
  <c r="H26" i="79"/>
  <c r="I26" i="79" s="1"/>
  <c r="J26" i="79" s="1"/>
  <c r="K26" i="79" s="1"/>
  <c r="L26" i="79" s="1"/>
  <c r="H176" i="79"/>
  <c r="K20" i="81"/>
  <c r="K39" i="81" s="1"/>
  <c r="K40" i="81" s="1"/>
  <c r="N26" i="63"/>
  <c r="M25" i="74"/>
  <c r="M26" i="63"/>
  <c r="L25" i="74"/>
  <c r="L26" i="63"/>
  <c r="K25" i="74"/>
  <c r="K26" i="63"/>
  <c r="J25" i="74"/>
  <c r="H111" i="79"/>
  <c r="H116" i="79" s="1"/>
  <c r="L176" i="79"/>
  <c r="L13" i="67"/>
  <c r="L36" i="67" s="1"/>
  <c r="K176" i="79"/>
  <c r="K13" i="67"/>
  <c r="K36" i="67" s="1"/>
  <c r="J176" i="79"/>
  <c r="J13" i="67"/>
  <c r="J36" i="67" s="1"/>
  <c r="I176" i="79"/>
  <c r="I13" i="67"/>
  <c r="I36" i="67" s="1"/>
  <c r="H13" i="67"/>
  <c r="H36" i="67" s="1"/>
  <c r="D5" i="72"/>
  <c r="D7" i="72" s="1"/>
  <c r="M10" i="72" s="1"/>
  <c r="G44" i="72"/>
  <c r="H52" i="72"/>
  <c r="U36" i="72"/>
  <c r="G145" i="79"/>
  <c r="E171" i="79" s="1"/>
  <c r="H171" i="79" s="1"/>
  <c r="I171" i="79" s="1"/>
  <c r="J171" i="79" s="1"/>
  <c r="K171" i="79" s="1"/>
  <c r="G146" i="79"/>
  <c r="G144" i="79"/>
  <c r="E167" i="79" s="1"/>
  <c r="H167" i="79" s="1"/>
  <c r="J21" i="79"/>
  <c r="K21" i="79" s="1"/>
  <c r="L21" i="79" s="1"/>
  <c r="I2" i="79"/>
  <c r="H141" i="79"/>
  <c r="H183" i="79"/>
  <c r="H201" i="79" s="1"/>
  <c r="H56" i="79"/>
  <c r="K23" i="79"/>
  <c r="C27" i="72"/>
  <c r="C35" i="72" s="1"/>
  <c r="C43" i="72" s="1"/>
  <c r="C51" i="72" s="1"/>
  <c r="C58" i="72" s="1"/>
  <c r="C70" i="72" s="1"/>
  <c r="J26" i="63" l="1"/>
  <c r="I25" i="74"/>
  <c r="I167" i="79"/>
  <c r="J167" i="79" s="1"/>
  <c r="K167" i="79" s="1"/>
  <c r="L167" i="79" s="1"/>
  <c r="H173" i="79"/>
  <c r="G148" i="79"/>
  <c r="M13" i="72"/>
  <c r="G54" i="72" s="1"/>
  <c r="G10" i="72"/>
  <c r="H44" i="72"/>
  <c r="I52" i="72"/>
  <c r="V36" i="72"/>
  <c r="D4" i="72"/>
  <c r="I56" i="79"/>
  <c r="J24" i="79"/>
  <c r="J132" i="79" s="1"/>
  <c r="J2" i="79"/>
  <c r="I141" i="79"/>
  <c r="I183" i="79"/>
  <c r="I201" i="79" s="1"/>
  <c r="L23" i="79"/>
  <c r="I152" i="73"/>
  <c r="J152" i="73"/>
  <c r="K152" i="73"/>
  <c r="L152" i="73"/>
  <c r="H152" i="73"/>
  <c r="H153" i="73" s="1"/>
  <c r="I151" i="73"/>
  <c r="J151" i="73"/>
  <c r="K151" i="73"/>
  <c r="L151" i="73"/>
  <c r="L153" i="73" s="1"/>
  <c r="H68" i="73"/>
  <c r="H69" i="73"/>
  <c r="I140" i="73"/>
  <c r="J140" i="73"/>
  <c r="K140" i="73"/>
  <c r="L140" i="73"/>
  <c r="H189" i="73"/>
  <c r="I69" i="74"/>
  <c r="K153" i="73" l="1"/>
  <c r="H175" i="79"/>
  <c r="E20" i="81"/>
  <c r="F39" i="81"/>
  <c r="F40" i="81" s="1"/>
  <c r="J153" i="73"/>
  <c r="I153" i="73"/>
  <c r="J131" i="79"/>
  <c r="K31" i="74" s="1"/>
  <c r="H178" i="79"/>
  <c r="J38" i="63"/>
  <c r="J163" i="79"/>
  <c r="K163" i="79" s="1"/>
  <c r="L163" i="79" s="1"/>
  <c r="I173" i="79"/>
  <c r="K38" i="63" s="1"/>
  <c r="H179" i="79"/>
  <c r="J127" i="79"/>
  <c r="J128" i="79"/>
  <c r="J129" i="79"/>
  <c r="J130" i="79"/>
  <c r="J122" i="79"/>
  <c r="J124" i="79"/>
  <c r="J123" i="79"/>
  <c r="K29" i="74" s="1"/>
  <c r="J54" i="72"/>
  <c r="I54" i="72"/>
  <c r="H54" i="72"/>
  <c r="G55" i="72"/>
  <c r="K54" i="72"/>
  <c r="C54" i="72"/>
  <c r="C55" i="72"/>
  <c r="F55" i="72"/>
  <c r="L54" i="72"/>
  <c r="E55" i="72"/>
  <c r="D54" i="72"/>
  <c r="D55" i="72"/>
  <c r="E54" i="72"/>
  <c r="F54" i="72"/>
  <c r="H55" i="72"/>
  <c r="I44" i="72"/>
  <c r="I55" i="72"/>
  <c r="J52" i="72"/>
  <c r="W36" i="72"/>
  <c r="D6" i="72"/>
  <c r="J10" i="72" s="1"/>
  <c r="D10" i="72"/>
  <c r="G13" i="67"/>
  <c r="G36" i="67" s="1"/>
  <c r="K24" i="79"/>
  <c r="K132" i="79" s="1"/>
  <c r="K2" i="79"/>
  <c r="J141" i="79"/>
  <c r="J183" i="79"/>
  <c r="J201" i="79" s="1"/>
  <c r="J56" i="79"/>
  <c r="H70" i="73"/>
  <c r="K131" i="79" l="1"/>
  <c r="L31" i="74" s="1"/>
  <c r="K127" i="79"/>
  <c r="K128" i="79"/>
  <c r="K129" i="79"/>
  <c r="K130" i="79"/>
  <c r="K122" i="79"/>
  <c r="K124" i="79"/>
  <c r="K123" i="79"/>
  <c r="L29" i="74" s="1"/>
  <c r="F56" i="72"/>
  <c r="H56" i="72"/>
  <c r="G56" i="72"/>
  <c r="I56" i="72"/>
  <c r="D56" i="72"/>
  <c r="E56" i="72"/>
  <c r="M54" i="72"/>
  <c r="L21" i="72" s="1"/>
  <c r="I62" i="72" s="1"/>
  <c r="C56" i="72"/>
  <c r="J13" i="72"/>
  <c r="D47" i="72" s="1"/>
  <c r="J44" i="72"/>
  <c r="J55" i="72"/>
  <c r="J56" i="72" s="1"/>
  <c r="K52" i="72"/>
  <c r="I52" i="63"/>
  <c r="L24" i="79"/>
  <c r="L132" i="79" s="1"/>
  <c r="L2" i="79"/>
  <c r="K141" i="79"/>
  <c r="K183" i="79"/>
  <c r="K201" i="79" s="1"/>
  <c r="K56" i="79"/>
  <c r="I119" i="73"/>
  <c r="J119" i="73"/>
  <c r="K119" i="73"/>
  <c r="L119" i="73"/>
  <c r="I128" i="73"/>
  <c r="J128" i="73"/>
  <c r="K128" i="73"/>
  <c r="L128" i="73"/>
  <c r="H73" i="73"/>
  <c r="I201" i="73"/>
  <c r="H16" i="73"/>
  <c r="H116" i="73" s="1"/>
  <c r="I54" i="73"/>
  <c r="J54" i="73" s="1"/>
  <c r="K54" i="73" s="1"/>
  <c r="L54" i="73" s="1"/>
  <c r="H49" i="73"/>
  <c r="I49" i="73" s="1"/>
  <c r="J49" i="73" s="1"/>
  <c r="K49" i="73" s="1"/>
  <c r="L49" i="73" s="1"/>
  <c r="H48" i="73"/>
  <c r="I48" i="73" s="1"/>
  <c r="J48" i="73" s="1"/>
  <c r="K48" i="73" s="1"/>
  <c r="L48" i="73" s="1"/>
  <c r="H35" i="73"/>
  <c r="I35" i="73" s="1"/>
  <c r="J35" i="73" s="1"/>
  <c r="K35" i="73" s="1"/>
  <c r="L35" i="73" s="1"/>
  <c r="H34" i="73"/>
  <c r="H36" i="73" s="1"/>
  <c r="H30" i="73"/>
  <c r="I30" i="73" s="1"/>
  <c r="J30" i="73" s="1"/>
  <c r="K30" i="73" s="1"/>
  <c r="L30" i="73" s="1"/>
  <c r="H29" i="73"/>
  <c r="L131" i="79" l="1"/>
  <c r="M31" i="74" s="1"/>
  <c r="L127" i="79"/>
  <c r="L128" i="79"/>
  <c r="L129" i="79"/>
  <c r="L130" i="79"/>
  <c r="L122" i="79"/>
  <c r="L124" i="79"/>
  <c r="L123" i="79"/>
  <c r="M29" i="74" s="1"/>
  <c r="F62" i="72"/>
  <c r="J62" i="72"/>
  <c r="K62" i="72"/>
  <c r="L62" i="72"/>
  <c r="C62" i="72"/>
  <c r="G62" i="72"/>
  <c r="D62" i="72"/>
  <c r="H62" i="72"/>
  <c r="E62" i="72"/>
  <c r="F47" i="72"/>
  <c r="K46" i="72"/>
  <c r="K66" i="72" s="1"/>
  <c r="O46" i="72"/>
  <c r="R46" i="72"/>
  <c r="E46" i="72"/>
  <c r="E66" i="72" s="1"/>
  <c r="D46" i="72"/>
  <c r="H35" i="67" s="1"/>
  <c r="G46" i="72"/>
  <c r="G66" i="72" s="1"/>
  <c r="F46" i="72"/>
  <c r="F66" i="72" s="1"/>
  <c r="J46" i="72"/>
  <c r="J66" i="72" s="1"/>
  <c r="H47" i="72"/>
  <c r="G47" i="72"/>
  <c r="K55" i="72"/>
  <c r="K56" i="72" s="1"/>
  <c r="L52" i="72"/>
  <c r="L55" i="72" s="1"/>
  <c r="L56" i="72" s="1"/>
  <c r="P46" i="72"/>
  <c r="Q46" i="72"/>
  <c r="I46" i="72"/>
  <c r="I66" i="72" s="1"/>
  <c r="H46" i="72"/>
  <c r="H66" i="72" s="1"/>
  <c r="S46" i="72"/>
  <c r="I47" i="72"/>
  <c r="C47" i="72"/>
  <c r="E47" i="72"/>
  <c r="L46" i="72"/>
  <c r="L67" i="72" s="1"/>
  <c r="M46" i="72"/>
  <c r="N46" i="72"/>
  <c r="C46" i="72"/>
  <c r="G35" i="67" s="1"/>
  <c r="I178" i="79"/>
  <c r="J173" i="79"/>
  <c r="K44" i="72"/>
  <c r="J47" i="72"/>
  <c r="K173" i="79"/>
  <c r="M38" i="63" s="1"/>
  <c r="L173" i="79"/>
  <c r="N38" i="63" s="1"/>
  <c r="L56" i="79"/>
  <c r="L183" i="79"/>
  <c r="L201" i="79" s="1"/>
  <c r="L141" i="79"/>
  <c r="I29" i="73"/>
  <c r="I40" i="73" s="1"/>
  <c r="H31" i="73"/>
  <c r="H140" i="73"/>
  <c r="H201" i="73"/>
  <c r="L51" i="73"/>
  <c r="H128" i="73"/>
  <c r="H119" i="73"/>
  <c r="I51" i="73"/>
  <c r="K51" i="73"/>
  <c r="H89" i="73"/>
  <c r="J51" i="73"/>
  <c r="H227" i="73"/>
  <c r="H51" i="73"/>
  <c r="D220" i="73"/>
  <c r="H39" i="73"/>
  <c r="H165" i="73" s="1"/>
  <c r="I34" i="73"/>
  <c r="I36" i="73" s="1"/>
  <c r="H40" i="73"/>
  <c r="J178" i="79" l="1"/>
  <c r="L38" i="63"/>
  <c r="D48" i="72"/>
  <c r="D66" i="72"/>
  <c r="E67" i="72"/>
  <c r="D67" i="72"/>
  <c r="J67" i="72"/>
  <c r="K67" i="72"/>
  <c r="G67" i="72"/>
  <c r="I67" i="72"/>
  <c r="G48" i="72"/>
  <c r="M55" i="72"/>
  <c r="M56" i="72" s="1"/>
  <c r="F48" i="72"/>
  <c r="F67" i="72"/>
  <c r="C66" i="72"/>
  <c r="C67" i="72"/>
  <c r="C48" i="72"/>
  <c r="I48" i="72"/>
  <c r="E48" i="72"/>
  <c r="H67" i="72"/>
  <c r="H48" i="72"/>
  <c r="L66" i="72"/>
  <c r="T46" i="72"/>
  <c r="I21" i="72" s="1"/>
  <c r="J61" i="72" s="1"/>
  <c r="J48" i="72"/>
  <c r="L44" i="72"/>
  <c r="K47" i="72"/>
  <c r="K48" i="72" s="1"/>
  <c r="L178" i="79"/>
  <c r="M36" i="74" s="1"/>
  <c r="J52" i="63"/>
  <c r="I175" i="79"/>
  <c r="K178" i="79"/>
  <c r="L36" i="74" s="1"/>
  <c r="D13" i="72"/>
  <c r="I29" i="67"/>
  <c r="J29" i="67" s="1"/>
  <c r="K29" i="67" s="1"/>
  <c r="L29" i="67" s="1"/>
  <c r="J29" i="73"/>
  <c r="I31" i="73"/>
  <c r="H41" i="73"/>
  <c r="H183" i="73" s="1"/>
  <c r="H82" i="73"/>
  <c r="J34" i="73"/>
  <c r="J36" i="73" s="1"/>
  <c r="I39" i="73"/>
  <c r="K49" i="63"/>
  <c r="L49" i="63" s="1"/>
  <c r="M49" i="63" s="1"/>
  <c r="N49" i="63" s="1"/>
  <c r="I148" i="73"/>
  <c r="J148" i="73"/>
  <c r="K148" i="73"/>
  <c r="L148" i="73"/>
  <c r="H148" i="73"/>
  <c r="I146" i="73"/>
  <c r="J146" i="73"/>
  <c r="K146" i="73"/>
  <c r="L146" i="73"/>
  <c r="I143" i="73"/>
  <c r="J143" i="73"/>
  <c r="K143" i="73"/>
  <c r="L143" i="73"/>
  <c r="I137" i="73"/>
  <c r="J137" i="73"/>
  <c r="K137" i="73"/>
  <c r="L137" i="73"/>
  <c r="I8" i="67"/>
  <c r="J8" i="67" s="1"/>
  <c r="K8" i="67" s="1"/>
  <c r="L8" i="67" s="1"/>
  <c r="K36" i="74" l="1"/>
  <c r="I36" i="74"/>
  <c r="J36" i="74"/>
  <c r="I179" i="79"/>
  <c r="K52" i="63" s="1"/>
  <c r="K55" i="63" s="1"/>
  <c r="D68" i="72"/>
  <c r="D72" i="72" s="1"/>
  <c r="L22" i="72"/>
  <c r="L23" i="72" s="1"/>
  <c r="C68" i="72"/>
  <c r="C72" i="72" s="1"/>
  <c r="G61" i="72"/>
  <c r="I61" i="72"/>
  <c r="H61" i="72"/>
  <c r="F61" i="72"/>
  <c r="K61" i="72"/>
  <c r="C61" i="72"/>
  <c r="E61" i="72"/>
  <c r="D61" i="72"/>
  <c r="L61" i="72"/>
  <c r="M44" i="72"/>
  <c r="L47" i="72"/>
  <c r="L48" i="72" s="1"/>
  <c r="C31" i="72"/>
  <c r="E30" i="72"/>
  <c r="D31" i="72"/>
  <c r="E31" i="72"/>
  <c r="K29" i="73"/>
  <c r="J31" i="73"/>
  <c r="J40" i="73"/>
  <c r="J78" i="73" s="1"/>
  <c r="H98" i="73"/>
  <c r="I41" i="73"/>
  <c r="I77" i="73"/>
  <c r="K34" i="73"/>
  <c r="K36" i="73" s="1"/>
  <c r="J39" i="73"/>
  <c r="D204" i="73"/>
  <c r="J175" i="79" l="1"/>
  <c r="J179" i="79" s="1"/>
  <c r="E64" i="72"/>
  <c r="N44" i="72"/>
  <c r="M47" i="72"/>
  <c r="M48" i="72" s="1"/>
  <c r="L29" i="73"/>
  <c r="K31" i="73"/>
  <c r="K40" i="73"/>
  <c r="K78" i="73" s="1"/>
  <c r="I69" i="73"/>
  <c r="I68" i="73"/>
  <c r="D205" i="73"/>
  <c r="D206" i="73" s="1"/>
  <c r="J41" i="73"/>
  <c r="J77" i="73"/>
  <c r="I82" i="73"/>
  <c r="L34" i="73"/>
  <c r="K39" i="73"/>
  <c r="G14" i="67"/>
  <c r="K175" i="79" l="1"/>
  <c r="K179" i="79" s="1"/>
  <c r="L52" i="63"/>
  <c r="L55" i="63" s="1"/>
  <c r="O44" i="72"/>
  <c r="N47" i="72"/>
  <c r="N48" i="72" s="1"/>
  <c r="L39" i="73"/>
  <c r="L36" i="73"/>
  <c r="L31" i="73"/>
  <c r="L40" i="73"/>
  <c r="L78" i="73" s="1"/>
  <c r="I70" i="73"/>
  <c r="J69" i="73"/>
  <c r="J68" i="73"/>
  <c r="K41" i="73"/>
  <c r="K77" i="73"/>
  <c r="J82" i="73"/>
  <c r="I64" i="73" s="1"/>
  <c r="L175" i="79" l="1"/>
  <c r="L179" i="79" s="1"/>
  <c r="N52" i="63" s="1"/>
  <c r="N55" i="63" s="1"/>
  <c r="M52" i="63"/>
  <c r="M55" i="63" s="1"/>
  <c r="O47" i="72"/>
  <c r="O48" i="72" s="1"/>
  <c r="P44" i="72"/>
  <c r="G13" i="72"/>
  <c r="L41" i="73"/>
  <c r="L77" i="73"/>
  <c r="L165" i="73" s="1"/>
  <c r="J70" i="73"/>
  <c r="K69" i="73"/>
  <c r="K68" i="73"/>
  <c r="K82" i="73"/>
  <c r="I227" i="73"/>
  <c r="H220" i="73"/>
  <c r="I220" i="73" s="1"/>
  <c r="J220" i="73" s="1"/>
  <c r="K220" i="73" s="1"/>
  <c r="L220" i="73" s="1"/>
  <c r="H217" i="73"/>
  <c r="I217" i="73" s="1"/>
  <c r="J217" i="73" s="1"/>
  <c r="K217" i="73" s="1"/>
  <c r="L217" i="73" s="1"/>
  <c r="H68" i="74"/>
  <c r="J201" i="73"/>
  <c r="K201" i="73"/>
  <c r="L201" i="73"/>
  <c r="I167" i="73"/>
  <c r="J167" i="73"/>
  <c r="K167" i="73"/>
  <c r="L167" i="73"/>
  <c r="I168" i="73"/>
  <c r="J168" i="73"/>
  <c r="K168" i="73"/>
  <c r="L168" i="73"/>
  <c r="I169" i="73"/>
  <c r="J169" i="73"/>
  <c r="K169" i="73"/>
  <c r="L169" i="73"/>
  <c r="I166" i="73"/>
  <c r="J166" i="73"/>
  <c r="K166" i="73"/>
  <c r="L166" i="73"/>
  <c r="I165" i="73"/>
  <c r="J165" i="73"/>
  <c r="K165" i="73"/>
  <c r="P47" i="72" l="1"/>
  <c r="P48" i="72" s="1"/>
  <c r="Q44" i="72"/>
  <c r="E38" i="72"/>
  <c r="X39" i="72"/>
  <c r="C39" i="72"/>
  <c r="G32" i="67" s="1"/>
  <c r="G37" i="67" s="1"/>
  <c r="T38" i="72"/>
  <c r="T39" i="72"/>
  <c r="V38" i="72"/>
  <c r="U38" i="72"/>
  <c r="E39" i="72"/>
  <c r="I32" i="67" s="1"/>
  <c r="W38" i="72"/>
  <c r="X38" i="72"/>
  <c r="U39" i="72"/>
  <c r="V39" i="72"/>
  <c r="W39" i="72"/>
  <c r="D39" i="72"/>
  <c r="H32" i="67" s="1"/>
  <c r="H38" i="72"/>
  <c r="S39" i="72"/>
  <c r="L38" i="72"/>
  <c r="S38" i="72"/>
  <c r="P39" i="72"/>
  <c r="N39" i="72"/>
  <c r="J38" i="72"/>
  <c r="J65" i="72" s="1"/>
  <c r="I39" i="72"/>
  <c r="Q39" i="72"/>
  <c r="K39" i="72"/>
  <c r="K38" i="72"/>
  <c r="M39" i="72"/>
  <c r="O39" i="72"/>
  <c r="G38" i="72"/>
  <c r="I38" i="72"/>
  <c r="L39" i="72"/>
  <c r="H39" i="72"/>
  <c r="N38" i="72"/>
  <c r="R39" i="72"/>
  <c r="R38" i="72"/>
  <c r="M38" i="72"/>
  <c r="F38" i="72"/>
  <c r="F65" i="72" s="1"/>
  <c r="P38" i="72"/>
  <c r="J39" i="72"/>
  <c r="F39" i="72"/>
  <c r="G39" i="72"/>
  <c r="O38" i="72"/>
  <c r="Q38" i="72"/>
  <c r="L82" i="73"/>
  <c r="L68" i="73"/>
  <c r="L69" i="73"/>
  <c r="K70" i="73"/>
  <c r="H214" i="73"/>
  <c r="I214" i="73" s="1"/>
  <c r="J214" i="73" s="1"/>
  <c r="K214" i="73" s="1"/>
  <c r="L214" i="73" s="1"/>
  <c r="R40" i="72" l="1"/>
  <c r="E65" i="72"/>
  <c r="E68" i="72" s="1"/>
  <c r="E72" i="72" s="1"/>
  <c r="I35" i="67"/>
  <c r="D40" i="72"/>
  <c r="J40" i="63"/>
  <c r="K40" i="63"/>
  <c r="N40" i="72"/>
  <c r="X40" i="72"/>
  <c r="L40" i="72"/>
  <c r="L65" i="72"/>
  <c r="H40" i="72"/>
  <c r="H65" i="72"/>
  <c r="I40" i="72"/>
  <c r="I65" i="72"/>
  <c r="G40" i="72"/>
  <c r="G65" i="72"/>
  <c r="K40" i="72"/>
  <c r="K65" i="72"/>
  <c r="S40" i="72"/>
  <c r="Q47" i="72"/>
  <c r="Q48" i="72" s="1"/>
  <c r="R44" i="72"/>
  <c r="S44" i="72" s="1"/>
  <c r="S47" i="72" s="1"/>
  <c r="S48" i="72" s="1"/>
  <c r="M40" i="72"/>
  <c r="T40" i="72"/>
  <c r="O40" i="72"/>
  <c r="P40" i="72"/>
  <c r="U40" i="72"/>
  <c r="V40" i="72"/>
  <c r="W40" i="72"/>
  <c r="C40" i="72"/>
  <c r="Y39" i="72"/>
  <c r="F22" i="72" s="1"/>
  <c r="F40" i="72"/>
  <c r="Q40" i="72"/>
  <c r="J40" i="72"/>
  <c r="Y38" i="72"/>
  <c r="F21" i="72" s="1"/>
  <c r="E40" i="72"/>
  <c r="L70" i="73"/>
  <c r="F60" i="72" l="1"/>
  <c r="G60" i="72"/>
  <c r="F23" i="72"/>
  <c r="H60" i="72"/>
  <c r="I60" i="72"/>
  <c r="K60" i="72"/>
  <c r="C60" i="72"/>
  <c r="J60" i="72"/>
  <c r="L60" i="72"/>
  <c r="D60" i="72"/>
  <c r="E60" i="72"/>
  <c r="Y40" i="72"/>
  <c r="R47" i="72"/>
  <c r="T47" i="72" s="1"/>
  <c r="B2" i="76"/>
  <c r="T48" i="72" l="1"/>
  <c r="I22" i="72"/>
  <c r="I23" i="72" s="1"/>
  <c r="R48" i="72"/>
  <c r="B8" i="76"/>
  <c r="C6" i="76"/>
  <c r="C7" i="76"/>
  <c r="C69" i="76" l="1"/>
  <c r="K64" i="76"/>
  <c r="C64" i="76"/>
  <c r="F55" i="76"/>
  <c r="D55" i="76"/>
  <c r="C55" i="76"/>
  <c r="B55" i="76"/>
  <c r="I39" i="76"/>
  <c r="J37" i="76" s="1"/>
  <c r="E37" i="76"/>
  <c r="E36" i="76"/>
  <c r="E35" i="76"/>
  <c r="E34" i="76"/>
  <c r="E33" i="76"/>
  <c r="J31" i="76"/>
  <c r="D31" i="76"/>
  <c r="I26" i="76"/>
  <c r="J22" i="76" s="1"/>
  <c r="E20" i="76"/>
  <c r="J18" i="76"/>
  <c r="D18" i="76"/>
  <c r="B15" i="76"/>
  <c r="C14" i="76" s="1"/>
  <c r="J38" i="76" l="1"/>
  <c r="J33" i="76"/>
  <c r="J36" i="76"/>
  <c r="J35" i="76"/>
  <c r="J23" i="76"/>
  <c r="J24" i="76"/>
  <c r="C13" i="76"/>
  <c r="J20" i="76"/>
  <c r="J25" i="76"/>
  <c r="C12" i="76"/>
  <c r="I13" i="75"/>
  <c r="J13" i="75"/>
  <c r="K13" i="75"/>
  <c r="L13" i="75"/>
  <c r="H13" i="75"/>
  <c r="H47" i="75" l="1"/>
  <c r="J46" i="75"/>
  <c r="K46" i="75"/>
  <c r="L46" i="75"/>
  <c r="I46" i="75"/>
  <c r="I47" i="75"/>
  <c r="I45" i="74"/>
  <c r="I33" i="75"/>
  <c r="J33" i="75" s="1"/>
  <c r="K33" i="75" s="1"/>
  <c r="L33" i="75" s="1"/>
  <c r="H9" i="75"/>
  <c r="H2" i="75"/>
  <c r="H7" i="75" s="1"/>
  <c r="C5" i="75"/>
  <c r="B2" i="75"/>
  <c r="F29" i="72"/>
  <c r="I110" i="69"/>
  <c r="J110" i="69"/>
  <c r="K110" i="69"/>
  <c r="H110" i="69"/>
  <c r="L110" i="69" s="1"/>
  <c r="G29" i="72" l="1"/>
  <c r="H29" i="72" s="1"/>
  <c r="I29" i="72" s="1"/>
  <c r="J29" i="72" s="1"/>
  <c r="K29" i="72" s="1"/>
  <c r="L29" i="72" s="1"/>
  <c r="M29" i="72" s="1"/>
  <c r="N29" i="72" s="1"/>
  <c r="O29" i="72" s="1"/>
  <c r="P29" i="72" s="1"/>
  <c r="Q29" i="72" s="1"/>
  <c r="R29" i="72" s="1"/>
  <c r="S29" i="72" s="1"/>
  <c r="T29" i="72" s="1"/>
  <c r="F30" i="72"/>
  <c r="I2" i="75"/>
  <c r="J2" i="75" s="1"/>
  <c r="K2" i="75" s="1"/>
  <c r="L2" i="75" s="1"/>
  <c r="L7" i="75" s="1"/>
  <c r="I48" i="75"/>
  <c r="F64" i="72" l="1"/>
  <c r="F68" i="72" s="1"/>
  <c r="F72" i="72" s="1"/>
  <c r="J35" i="67"/>
  <c r="U29" i="72"/>
  <c r="J7" i="75"/>
  <c r="I7" i="75"/>
  <c r="K7" i="75"/>
  <c r="V29" i="72" l="1"/>
  <c r="J77" i="69"/>
  <c r="D92" i="69" s="1"/>
  <c r="I78" i="69"/>
  <c r="D96" i="69" s="1"/>
  <c r="I76" i="69"/>
  <c r="I75" i="69"/>
  <c r="H30" i="69"/>
  <c r="H8" i="75" s="1"/>
  <c r="H10" i="75" s="1"/>
  <c r="I131" i="73"/>
  <c r="J131" i="73"/>
  <c r="K131" i="73"/>
  <c r="L131" i="73"/>
  <c r="W29" i="72" l="1"/>
  <c r="D84" i="69"/>
  <c r="I84" i="69" s="1"/>
  <c r="J84" i="69" s="1"/>
  <c r="K84" i="69" s="1"/>
  <c r="L84" i="69" s="1"/>
  <c r="H78" i="74"/>
  <c r="D88" i="69"/>
  <c r="I88" i="69" s="1"/>
  <c r="J88" i="69" s="1"/>
  <c r="K96" i="69"/>
  <c r="L96" i="69" s="1"/>
  <c r="I96" i="69"/>
  <c r="J96" i="69" s="1"/>
  <c r="K92" i="69"/>
  <c r="L92" i="69" s="1"/>
  <c r="J92" i="69"/>
  <c r="H40" i="69"/>
  <c r="H59" i="69"/>
  <c r="H79" i="74" l="1"/>
  <c r="X29" i="72"/>
  <c r="J98" i="69"/>
  <c r="I98" i="69"/>
  <c r="Y29" i="72" l="1"/>
  <c r="I24" i="75"/>
  <c r="I35" i="75" s="1"/>
  <c r="I103" i="69"/>
  <c r="J24" i="75"/>
  <c r="J35" i="75" s="1"/>
  <c r="J103" i="69"/>
  <c r="H122" i="73"/>
  <c r="H113" i="73"/>
  <c r="H134" i="73"/>
  <c r="H131" i="73"/>
  <c r="H125" i="73"/>
  <c r="H146" i="73"/>
  <c r="H110" i="73"/>
  <c r="H137" i="73"/>
  <c r="H143" i="73"/>
  <c r="H167" i="73"/>
  <c r="H169" i="73"/>
  <c r="H168" i="73"/>
  <c r="H166" i="73"/>
  <c r="E4" i="65"/>
  <c r="F4" i="65" s="1"/>
  <c r="H21" i="73"/>
  <c r="I22" i="73"/>
  <c r="J22" i="73" s="1"/>
  <c r="K22" i="73" s="1"/>
  <c r="L22" i="73" s="1"/>
  <c r="H62" i="73"/>
  <c r="H211" i="73"/>
  <c r="H222" i="73" s="1"/>
  <c r="H229" i="73" s="1"/>
  <c r="I62" i="74" s="1"/>
  <c r="H20" i="73"/>
  <c r="K68" i="74"/>
  <c r="K69" i="74" s="1"/>
  <c r="L68" i="74"/>
  <c r="L69" i="74" s="1"/>
  <c r="M68" i="74"/>
  <c r="M69" i="74" s="1"/>
  <c r="F28" i="72"/>
  <c r="I17" i="72"/>
  <c r="J17" i="72" s="1"/>
  <c r="K17" i="72" s="1"/>
  <c r="L17" i="72" s="1"/>
  <c r="M17" i="72" s="1"/>
  <c r="H2" i="73"/>
  <c r="J2" i="74"/>
  <c r="I7" i="74"/>
  <c r="H20" i="69"/>
  <c r="I20" i="69" s="1"/>
  <c r="J20" i="69" s="1"/>
  <c r="K20" i="69" s="1"/>
  <c r="L20" i="69" s="1"/>
  <c r="J114" i="63"/>
  <c r="H2" i="69"/>
  <c r="H27" i="69" s="1"/>
  <c r="D27" i="72"/>
  <c r="J227" i="73"/>
  <c r="K227" i="73"/>
  <c r="L227" i="73"/>
  <c r="J2" i="65"/>
  <c r="K2" i="65" s="1"/>
  <c r="L2" i="65" s="1"/>
  <c r="M2" i="65" s="1"/>
  <c r="N2" i="65" s="1"/>
  <c r="D56" i="73"/>
  <c r="B2" i="69"/>
  <c r="E52" i="63"/>
  <c r="E53" i="63"/>
  <c r="E54" i="63"/>
  <c r="E58" i="63"/>
  <c r="E59" i="63"/>
  <c r="E60" i="63"/>
  <c r="F114" i="63" s="1"/>
  <c r="E61" i="63"/>
  <c r="E62" i="63"/>
  <c r="E67" i="63"/>
  <c r="E68" i="63"/>
  <c r="E69" i="63"/>
  <c r="E70" i="63"/>
  <c r="E71" i="63"/>
  <c r="E74" i="63"/>
  <c r="E75" i="63"/>
  <c r="E76" i="63"/>
  <c r="E77" i="63"/>
  <c r="E78" i="63"/>
  <c r="E80" i="63"/>
  <c r="J80" i="63" s="1"/>
  <c r="E83" i="63"/>
  <c r="E84" i="63"/>
  <c r="E85" i="63"/>
  <c r="F59" i="63"/>
  <c r="F58" i="63"/>
  <c r="F68" i="63"/>
  <c r="F75" i="63"/>
  <c r="F52" i="63"/>
  <c r="F53" i="63"/>
  <c r="F54" i="63"/>
  <c r="F61" i="63"/>
  <c r="F62" i="63"/>
  <c r="F67" i="63"/>
  <c r="F74" i="63"/>
  <c r="F76" i="63"/>
  <c r="F77" i="63"/>
  <c r="F78" i="63"/>
  <c r="F80" i="63"/>
  <c r="K80" i="63" s="1"/>
  <c r="J79" i="69"/>
  <c r="I71" i="63"/>
  <c r="J71" i="63" s="1"/>
  <c r="L13" i="7"/>
  <c r="H25" i="63" s="1"/>
  <c r="K13" i="7"/>
  <c r="L4" i="7"/>
  <c r="H9" i="4" s="1"/>
  <c r="L8" i="7"/>
  <c r="H11" i="63" s="1"/>
  <c r="K4" i="7"/>
  <c r="I10" i="3" s="1"/>
  <c r="K8" i="7"/>
  <c r="L15" i="7"/>
  <c r="H25" i="3" s="1"/>
  <c r="H26" i="63"/>
  <c r="K15" i="7"/>
  <c r="H21" i="69"/>
  <c r="H23" i="69" s="1"/>
  <c r="I22" i="69"/>
  <c r="J22" i="69" s="1"/>
  <c r="K22" i="69" s="1"/>
  <c r="L22" i="69" s="1"/>
  <c r="L20" i="7"/>
  <c r="K20" i="7"/>
  <c r="I35" i="4" s="1"/>
  <c r="L23" i="7"/>
  <c r="H29" i="63" s="1"/>
  <c r="K23" i="7"/>
  <c r="I29" i="63" s="1"/>
  <c r="L22" i="7"/>
  <c r="H30" i="63" s="1"/>
  <c r="K22" i="7"/>
  <c r="I30" i="63" s="1"/>
  <c r="M12" i="7"/>
  <c r="G14" i="4" s="1"/>
  <c r="L12" i="7"/>
  <c r="H16" i="63" s="1"/>
  <c r="K12" i="7"/>
  <c r="I16" i="63" s="1"/>
  <c r="M4" i="7"/>
  <c r="M8" i="7"/>
  <c r="G10" i="4" s="1"/>
  <c r="M9" i="7"/>
  <c r="G17" i="63" s="1"/>
  <c r="L9" i="7"/>
  <c r="K9" i="7"/>
  <c r="I17" i="63" s="1"/>
  <c r="M10" i="7"/>
  <c r="G18" i="63" s="1"/>
  <c r="L10" i="7"/>
  <c r="H18" i="4" s="1"/>
  <c r="K10" i="7"/>
  <c r="I18" i="63" s="1"/>
  <c r="K21" i="7"/>
  <c r="I38" i="63" s="1"/>
  <c r="L45" i="7"/>
  <c r="L46" i="7"/>
  <c r="L47" i="7"/>
  <c r="L48" i="7"/>
  <c r="K45" i="7"/>
  <c r="K46" i="7"/>
  <c r="K47" i="7"/>
  <c r="K48" i="7"/>
  <c r="M45" i="7"/>
  <c r="G53" i="4" s="1"/>
  <c r="M46" i="7"/>
  <c r="M47" i="7"/>
  <c r="M48" i="7"/>
  <c r="H59" i="63"/>
  <c r="H58" i="63"/>
  <c r="I58" i="63"/>
  <c r="G61" i="63"/>
  <c r="I61" i="63"/>
  <c r="G62" i="63"/>
  <c r="H62" i="63"/>
  <c r="I62" i="63"/>
  <c r="I74" i="63"/>
  <c r="I76" i="63"/>
  <c r="J76" i="63" s="1"/>
  <c r="K76" i="63" s="1"/>
  <c r="L76" i="63" s="1"/>
  <c r="M76" i="63" s="1"/>
  <c r="N76" i="63" s="1"/>
  <c r="G77" i="63"/>
  <c r="H77" i="63"/>
  <c r="I77" i="63"/>
  <c r="H78" i="63"/>
  <c r="C1" i="6"/>
  <c r="I79" i="69"/>
  <c r="I41" i="75" s="1"/>
  <c r="I42" i="75" s="1"/>
  <c r="G80" i="63"/>
  <c r="L80" i="63" s="1"/>
  <c r="K79" i="69"/>
  <c r="K41" i="75" s="1"/>
  <c r="K42" i="75" s="1"/>
  <c r="H80" i="63"/>
  <c r="M80" i="63" s="1"/>
  <c r="L79" i="69"/>
  <c r="L41" i="75" s="1"/>
  <c r="L42" i="75" s="1"/>
  <c r="I80" i="63"/>
  <c r="N80" i="63" s="1"/>
  <c r="G15" i="67"/>
  <c r="J9" i="66" s="1"/>
  <c r="I2" i="72"/>
  <c r="J2" i="72" s="1"/>
  <c r="I75" i="63"/>
  <c r="I85" i="63"/>
  <c r="K24" i="7"/>
  <c r="K25" i="7"/>
  <c r="K26" i="7"/>
  <c r="K27" i="7"/>
  <c r="K5" i="7"/>
  <c r="I15" i="63" s="1"/>
  <c r="K7" i="7"/>
  <c r="K11" i="7"/>
  <c r="K16" i="7"/>
  <c r="I30" i="4" s="1"/>
  <c r="K17" i="7"/>
  <c r="I33" i="4" s="1"/>
  <c r="K18" i="7"/>
  <c r="I31" i="4" s="1"/>
  <c r="K19" i="7"/>
  <c r="I32" i="4" s="1"/>
  <c r="K28" i="7"/>
  <c r="K30" i="7"/>
  <c r="K31" i="7"/>
  <c r="K32" i="7"/>
  <c r="I43" i="4" s="1"/>
  <c r="K33" i="7"/>
  <c r="K34" i="7"/>
  <c r="K35" i="7"/>
  <c r="K36" i="7"/>
  <c r="K37" i="7"/>
  <c r="K38" i="7"/>
  <c r="K39" i="7"/>
  <c r="I31" i="3" s="1"/>
  <c r="I60" i="3" s="1"/>
  <c r="K40" i="7"/>
  <c r="K41" i="7"/>
  <c r="I59" i="4" s="1"/>
  <c r="K42" i="7"/>
  <c r="I39" i="3" s="1"/>
  <c r="K43" i="7"/>
  <c r="I21" i="4" s="1"/>
  <c r="K44" i="7"/>
  <c r="K51" i="7"/>
  <c r="K52" i="7"/>
  <c r="K53" i="7"/>
  <c r="K55" i="7"/>
  <c r="K56" i="7"/>
  <c r="I62" i="4" s="1"/>
  <c r="K58" i="7"/>
  <c r="K59" i="7"/>
  <c r="K60" i="7"/>
  <c r="K63" i="7"/>
  <c r="I31" i="63"/>
  <c r="L24" i="7"/>
  <c r="L25" i="7"/>
  <c r="L26" i="7"/>
  <c r="L27" i="7"/>
  <c r="L5" i="7"/>
  <c r="H15" i="63" s="1"/>
  <c r="L7" i="7"/>
  <c r="L11" i="7"/>
  <c r="L16" i="7"/>
  <c r="H30" i="4" s="1"/>
  <c r="L17" i="7"/>
  <c r="H33" i="4" s="1"/>
  <c r="L18" i="7"/>
  <c r="H31" i="4" s="1"/>
  <c r="L19" i="7"/>
  <c r="H32" i="4" s="1"/>
  <c r="L21" i="7"/>
  <c r="H37" i="3" s="1"/>
  <c r="L28" i="7"/>
  <c r="L30" i="7"/>
  <c r="L31" i="7"/>
  <c r="H48" i="4" s="1"/>
  <c r="L32" i="7"/>
  <c r="H31" i="63" s="1"/>
  <c r="L33" i="7"/>
  <c r="L34" i="7"/>
  <c r="L35" i="7"/>
  <c r="L36" i="7"/>
  <c r="L37" i="7"/>
  <c r="L38" i="7"/>
  <c r="L39" i="7"/>
  <c r="L40" i="7"/>
  <c r="L41" i="7"/>
  <c r="H59" i="4" s="1"/>
  <c r="L42" i="7"/>
  <c r="H60" i="4" s="1"/>
  <c r="L43" i="7"/>
  <c r="L44" i="7"/>
  <c r="H22" i="4" s="1"/>
  <c r="L51" i="7"/>
  <c r="L52" i="7"/>
  <c r="L53" i="7"/>
  <c r="H66" i="4" s="1"/>
  <c r="L55" i="7"/>
  <c r="L56" i="7"/>
  <c r="L58" i="7"/>
  <c r="L59" i="7"/>
  <c r="L60" i="7"/>
  <c r="L63" i="7"/>
  <c r="I54" i="63"/>
  <c r="H79" i="69"/>
  <c r="I67" i="63"/>
  <c r="J67" i="63" s="1"/>
  <c r="K67" i="63" s="1"/>
  <c r="L67" i="63" s="1"/>
  <c r="M67" i="63" s="1"/>
  <c r="N67" i="63" s="1"/>
  <c r="I78" i="63"/>
  <c r="I53" i="63"/>
  <c r="N12" i="7"/>
  <c r="F14" i="4" s="1"/>
  <c r="N4" i="7"/>
  <c r="F9" i="4" s="1"/>
  <c r="N8" i="7"/>
  <c r="F11" i="63" s="1"/>
  <c r="H98" i="69"/>
  <c r="H24" i="75" s="1"/>
  <c r="H35" i="75" s="1"/>
  <c r="D19" i="69"/>
  <c r="M13" i="7"/>
  <c r="G25" i="63" s="1"/>
  <c r="G24" i="3"/>
  <c r="G80" i="20" s="1"/>
  <c r="M24" i="7"/>
  <c r="M25" i="7"/>
  <c r="M26" i="7"/>
  <c r="M27" i="7"/>
  <c r="G37" i="4" s="1"/>
  <c r="M5" i="7"/>
  <c r="G15" i="63" s="1"/>
  <c r="M7" i="7"/>
  <c r="M11" i="7"/>
  <c r="M15" i="7"/>
  <c r="M16" i="7"/>
  <c r="G30" i="4" s="1"/>
  <c r="M17" i="7"/>
  <c r="G33" i="4" s="1"/>
  <c r="M18" i="7"/>
  <c r="G31" i="4" s="1"/>
  <c r="M19" i="7"/>
  <c r="G32" i="4" s="1"/>
  <c r="M20" i="7"/>
  <c r="G26" i="3" s="1"/>
  <c r="M21" i="7"/>
  <c r="G37" i="3" s="1"/>
  <c r="M22" i="7"/>
  <c r="M23" i="7"/>
  <c r="M28" i="7"/>
  <c r="M30" i="7"/>
  <c r="M31" i="7"/>
  <c r="M32" i="7"/>
  <c r="M33" i="7"/>
  <c r="M34" i="7"/>
  <c r="M35" i="7"/>
  <c r="M36" i="7"/>
  <c r="M37" i="7"/>
  <c r="M38" i="7"/>
  <c r="M39" i="7"/>
  <c r="M40" i="7"/>
  <c r="M41" i="7"/>
  <c r="G59" i="4" s="1"/>
  <c r="M42" i="7"/>
  <c r="M43" i="7"/>
  <c r="G21" i="4" s="1"/>
  <c r="M44" i="7"/>
  <c r="M51" i="7"/>
  <c r="M52" i="7"/>
  <c r="M53" i="7"/>
  <c r="M55" i="7"/>
  <c r="M56" i="7"/>
  <c r="M58" i="7"/>
  <c r="M59" i="7"/>
  <c r="M60" i="7"/>
  <c r="G66" i="4" s="1"/>
  <c r="M63" i="7"/>
  <c r="O4" i="7"/>
  <c r="E10" i="63" s="1"/>
  <c r="O8" i="7"/>
  <c r="E10" i="4" s="1"/>
  <c r="J71" i="5"/>
  <c r="J79" i="6"/>
  <c r="J80" i="6" s="1"/>
  <c r="G92" i="6"/>
  <c r="H92" i="6"/>
  <c r="I92" i="6"/>
  <c r="J92" i="6"/>
  <c r="F92" i="6"/>
  <c r="F91" i="6"/>
  <c r="I79" i="6"/>
  <c r="I80" i="6"/>
  <c r="F79" i="6"/>
  <c r="F80" i="6" s="1"/>
  <c r="H17" i="64"/>
  <c r="H60" i="63"/>
  <c r="I114" i="63" s="1"/>
  <c r="H68" i="63"/>
  <c r="H75" i="63"/>
  <c r="H69" i="63"/>
  <c r="H70" i="63"/>
  <c r="H71" i="63"/>
  <c r="H83" i="63"/>
  <c r="H84" i="63"/>
  <c r="H85" i="63"/>
  <c r="H52" i="63"/>
  <c r="H53" i="63"/>
  <c r="H54" i="63"/>
  <c r="H61" i="63"/>
  <c r="H67" i="63"/>
  <c r="H74" i="63"/>
  <c r="H76" i="63"/>
  <c r="G60" i="63"/>
  <c r="H114" i="63" s="1"/>
  <c r="G68" i="63"/>
  <c r="G75" i="63"/>
  <c r="G69" i="63"/>
  <c r="G70" i="63"/>
  <c r="G71" i="63"/>
  <c r="G83" i="63"/>
  <c r="G84" i="63"/>
  <c r="G85" i="63"/>
  <c r="G52" i="63"/>
  <c r="G53" i="63"/>
  <c r="G54" i="63"/>
  <c r="G59" i="63"/>
  <c r="G58" i="63"/>
  <c r="G99" i="63" s="1"/>
  <c r="G67" i="63"/>
  <c r="G74" i="63"/>
  <c r="G76" i="63"/>
  <c r="G78" i="63"/>
  <c r="I15" i="3"/>
  <c r="I78" i="20" s="1"/>
  <c r="H15" i="3"/>
  <c r="H78" i="20" s="1"/>
  <c r="N21" i="7"/>
  <c r="F56" i="4" s="1"/>
  <c r="O21" i="7"/>
  <c r="E37" i="3" s="1"/>
  <c r="E40" i="20" s="1"/>
  <c r="N13" i="7"/>
  <c r="F25" i="63" s="1"/>
  <c r="N15" i="7"/>
  <c r="F26" i="63" s="1"/>
  <c r="N20" i="7"/>
  <c r="F35" i="4" s="1"/>
  <c r="N24" i="7"/>
  <c r="N25" i="7"/>
  <c r="N26" i="7"/>
  <c r="N27" i="7"/>
  <c r="N5" i="7"/>
  <c r="F14" i="3" s="1"/>
  <c r="F74" i="59" s="1"/>
  <c r="N7" i="7"/>
  <c r="N9" i="7"/>
  <c r="F16" i="3" s="1"/>
  <c r="F79" i="20" s="1"/>
  <c r="N10" i="7"/>
  <c r="N11" i="7"/>
  <c r="N16" i="7"/>
  <c r="F30" i="4" s="1"/>
  <c r="N17" i="7"/>
  <c r="F33" i="4" s="1"/>
  <c r="N18" i="7"/>
  <c r="N19" i="7"/>
  <c r="F32" i="4" s="1"/>
  <c r="N22" i="7"/>
  <c r="F30" i="63" s="1"/>
  <c r="N23" i="7"/>
  <c r="N28" i="7"/>
  <c r="N30" i="7"/>
  <c r="N31" i="7"/>
  <c r="N32" i="7"/>
  <c r="N33" i="7"/>
  <c r="N34" i="7"/>
  <c r="N35" i="7"/>
  <c r="N36" i="7"/>
  <c r="N37" i="7"/>
  <c r="N38" i="7"/>
  <c r="N39" i="7"/>
  <c r="N40" i="7"/>
  <c r="N41" i="7"/>
  <c r="F59" i="4" s="1"/>
  <c r="N42" i="7"/>
  <c r="F60" i="4" s="1"/>
  <c r="N43" i="7"/>
  <c r="F21" i="4" s="1"/>
  <c r="N44" i="7"/>
  <c r="N45" i="7"/>
  <c r="N46" i="7"/>
  <c r="F54" i="4" s="1"/>
  <c r="N47" i="7"/>
  <c r="N48" i="7"/>
  <c r="N51" i="7"/>
  <c r="N52" i="7"/>
  <c r="N53" i="7"/>
  <c r="N55" i="7"/>
  <c r="N56" i="7"/>
  <c r="N58" i="7"/>
  <c r="N59" i="7"/>
  <c r="N60" i="7"/>
  <c r="N63" i="7"/>
  <c r="O13" i="7"/>
  <c r="E25" i="63" s="1"/>
  <c r="O15" i="7"/>
  <c r="E26" i="63" s="1"/>
  <c r="O20" i="7"/>
  <c r="E35" i="4" s="1"/>
  <c r="O24" i="7"/>
  <c r="O25" i="7"/>
  <c r="O26" i="7"/>
  <c r="O27" i="7"/>
  <c r="O5" i="7"/>
  <c r="O7" i="7"/>
  <c r="O9" i="7"/>
  <c r="E17" i="4" s="1"/>
  <c r="O10" i="7"/>
  <c r="E18" i="63" s="1"/>
  <c r="O11" i="7"/>
  <c r="O12" i="7"/>
  <c r="E16" i="63" s="1"/>
  <c r="O16" i="7"/>
  <c r="E30" i="4" s="1"/>
  <c r="O17" i="7"/>
  <c r="E33" i="4" s="1"/>
  <c r="O18" i="7"/>
  <c r="E31" i="4" s="1"/>
  <c r="O19" i="7"/>
  <c r="E32" i="4" s="1"/>
  <c r="O22" i="7"/>
  <c r="O23" i="7"/>
  <c r="E29" i="63" s="1"/>
  <c r="O28" i="7"/>
  <c r="O30" i="7"/>
  <c r="O31" i="7"/>
  <c r="O32" i="7"/>
  <c r="E31" i="63" s="1"/>
  <c r="O33" i="7"/>
  <c r="O34" i="7"/>
  <c r="O35" i="7"/>
  <c r="O36" i="7"/>
  <c r="O37" i="7"/>
  <c r="O38" i="7"/>
  <c r="O39" i="7"/>
  <c r="O40" i="7"/>
  <c r="O41" i="7"/>
  <c r="E59" i="4" s="1"/>
  <c r="O42" i="7"/>
  <c r="O43" i="7"/>
  <c r="O44" i="7"/>
  <c r="E22" i="4" s="1"/>
  <c r="O45" i="7"/>
  <c r="O46" i="7"/>
  <c r="O47" i="7"/>
  <c r="O48" i="7"/>
  <c r="E54" i="4" s="1"/>
  <c r="O51" i="7"/>
  <c r="O52" i="7"/>
  <c r="O53" i="7"/>
  <c r="O55" i="7"/>
  <c r="O56" i="7"/>
  <c r="E40" i="3" s="1"/>
  <c r="O58" i="7"/>
  <c r="O59" i="7"/>
  <c r="O60" i="7"/>
  <c r="O63" i="7"/>
  <c r="H24" i="3"/>
  <c r="H30" i="3"/>
  <c r="H59" i="3" s="1"/>
  <c r="I30" i="3"/>
  <c r="R13" i="3"/>
  <c r="S13" i="3"/>
  <c r="T13" i="3"/>
  <c r="U13" i="3"/>
  <c r="E86" i="3"/>
  <c r="E85" i="3"/>
  <c r="E87" i="3"/>
  <c r="E88" i="3"/>
  <c r="E89" i="3"/>
  <c r="E92" i="3"/>
  <c r="E93" i="3"/>
  <c r="E94" i="3"/>
  <c r="E95" i="3"/>
  <c r="E96" i="3"/>
  <c r="E98" i="3"/>
  <c r="F101" i="3"/>
  <c r="F85" i="3"/>
  <c r="F86" i="3"/>
  <c r="F87" i="3"/>
  <c r="F88" i="3"/>
  <c r="F89" i="3"/>
  <c r="F92" i="3"/>
  <c r="F93" i="3"/>
  <c r="F94" i="3"/>
  <c r="F95" i="3"/>
  <c r="F96" i="3"/>
  <c r="F98" i="3"/>
  <c r="F102" i="3"/>
  <c r="F103" i="3"/>
  <c r="G101" i="3"/>
  <c r="G85" i="3"/>
  <c r="G86" i="3"/>
  <c r="G87" i="3"/>
  <c r="G88" i="3"/>
  <c r="G89" i="3"/>
  <c r="G92" i="3"/>
  <c r="G93" i="3"/>
  <c r="G94" i="3"/>
  <c r="G95" i="3"/>
  <c r="G96" i="3"/>
  <c r="G98" i="3"/>
  <c r="G102" i="3"/>
  <c r="G103" i="3"/>
  <c r="H101" i="3"/>
  <c r="H85" i="3"/>
  <c r="H86" i="3"/>
  <c r="H87" i="3"/>
  <c r="H88" i="3"/>
  <c r="H89" i="3"/>
  <c r="H92" i="3"/>
  <c r="H93" i="3"/>
  <c r="H94" i="3"/>
  <c r="H95" i="3"/>
  <c r="H96" i="3"/>
  <c r="H98" i="3"/>
  <c r="H102" i="3"/>
  <c r="H103" i="3"/>
  <c r="I101" i="3"/>
  <c r="I85" i="3"/>
  <c r="I86" i="3"/>
  <c r="I87" i="3"/>
  <c r="I88" i="3"/>
  <c r="I89" i="3"/>
  <c r="I92" i="3"/>
  <c r="I93" i="3"/>
  <c r="I94" i="3"/>
  <c r="I95" i="3"/>
  <c r="I96" i="3"/>
  <c r="I98" i="3"/>
  <c r="I102" i="3"/>
  <c r="I103" i="3"/>
  <c r="E102" i="3"/>
  <c r="E101" i="3"/>
  <c r="E103" i="3"/>
  <c r="F71" i="3"/>
  <c r="F76" i="3"/>
  <c r="F77" i="3"/>
  <c r="F78" i="3"/>
  <c r="F79" i="3"/>
  <c r="F80" i="3"/>
  <c r="F70" i="3"/>
  <c r="F72" i="3"/>
  <c r="G70" i="3"/>
  <c r="G76" i="3"/>
  <c r="G77" i="3"/>
  <c r="G78" i="3"/>
  <c r="H131" i="3" s="1"/>
  <c r="G79" i="3"/>
  <c r="G80" i="3"/>
  <c r="G71" i="3"/>
  <c r="G72" i="3"/>
  <c r="H70" i="3"/>
  <c r="H76" i="3"/>
  <c r="H77" i="3"/>
  <c r="H78" i="3"/>
  <c r="I131" i="3" s="1"/>
  <c r="H79" i="3"/>
  <c r="H80" i="3"/>
  <c r="H71" i="3"/>
  <c r="H72" i="3"/>
  <c r="I70" i="3"/>
  <c r="I76" i="3"/>
  <c r="I77" i="3"/>
  <c r="I78" i="3"/>
  <c r="I79" i="3"/>
  <c r="I80" i="3"/>
  <c r="I71" i="3"/>
  <c r="I72" i="3"/>
  <c r="E71" i="3"/>
  <c r="E76" i="3"/>
  <c r="E77" i="3"/>
  <c r="E78" i="3"/>
  <c r="F131" i="3" s="1"/>
  <c r="E79" i="3"/>
  <c r="E80" i="3"/>
  <c r="E70" i="3"/>
  <c r="E72" i="3"/>
  <c r="G70" i="5"/>
  <c r="G71" i="5"/>
  <c r="H70" i="5"/>
  <c r="H71" i="5" s="1"/>
  <c r="I70" i="5"/>
  <c r="I71" i="5" s="1"/>
  <c r="J70" i="5"/>
  <c r="G72" i="5"/>
  <c r="G73" i="5" s="1"/>
  <c r="H72" i="5"/>
  <c r="H73" i="5" s="1"/>
  <c r="I72" i="5"/>
  <c r="I73" i="5" s="1"/>
  <c r="J72" i="5"/>
  <c r="J73" i="5" s="1"/>
  <c r="G74" i="5"/>
  <c r="H74" i="5"/>
  <c r="I74" i="5"/>
  <c r="J74" i="5"/>
  <c r="G75" i="5"/>
  <c r="H75" i="5"/>
  <c r="I75" i="5"/>
  <c r="J75" i="5"/>
  <c r="G76" i="5"/>
  <c r="G77" i="5" s="1"/>
  <c r="H76" i="5"/>
  <c r="H77" i="5" s="1"/>
  <c r="I76" i="5"/>
  <c r="I77" i="5" s="1"/>
  <c r="J76" i="5"/>
  <c r="J77" i="5" s="1"/>
  <c r="G78" i="5"/>
  <c r="G79" i="5" s="1"/>
  <c r="H78" i="5"/>
  <c r="H79" i="5" s="1"/>
  <c r="I78" i="5"/>
  <c r="I79" i="5" s="1"/>
  <c r="J78" i="5"/>
  <c r="J79" i="5" s="1"/>
  <c r="G80" i="5"/>
  <c r="G81" i="5" s="1"/>
  <c r="H80" i="5"/>
  <c r="H81" i="5"/>
  <c r="I80" i="5"/>
  <c r="I81" i="5" s="1"/>
  <c r="J80" i="5"/>
  <c r="J81" i="5" s="1"/>
  <c r="G82" i="5"/>
  <c r="G83" i="5" s="1"/>
  <c r="H82" i="5"/>
  <c r="H83" i="5" s="1"/>
  <c r="I82" i="5"/>
  <c r="I83" i="5" s="1"/>
  <c r="J82" i="5"/>
  <c r="J83" i="5" s="1"/>
  <c r="G84" i="5"/>
  <c r="G85" i="5" s="1"/>
  <c r="H84" i="5"/>
  <c r="H85" i="5" s="1"/>
  <c r="I84" i="5"/>
  <c r="I85" i="5" s="1"/>
  <c r="J84" i="5"/>
  <c r="J85" i="5" s="1"/>
  <c r="G86" i="5"/>
  <c r="G87" i="5" s="1"/>
  <c r="H86" i="5"/>
  <c r="H87" i="5" s="1"/>
  <c r="I86" i="5"/>
  <c r="I87" i="5" s="1"/>
  <c r="J86" i="5"/>
  <c r="J87" i="5" s="1"/>
  <c r="G88" i="5"/>
  <c r="G89" i="5" s="1"/>
  <c r="H88" i="5"/>
  <c r="H89" i="5"/>
  <c r="I88" i="5"/>
  <c r="I89" i="5" s="1"/>
  <c r="J88" i="5"/>
  <c r="J89" i="5" s="1"/>
  <c r="G90" i="5"/>
  <c r="G91" i="5" s="1"/>
  <c r="H90" i="5"/>
  <c r="H91" i="5" s="1"/>
  <c r="I90" i="5"/>
  <c r="I91" i="5" s="1"/>
  <c r="J90" i="5"/>
  <c r="J91" i="5"/>
  <c r="F90" i="5"/>
  <c r="F91" i="5" s="1"/>
  <c r="F88" i="5"/>
  <c r="F89" i="5" s="1"/>
  <c r="F86" i="5"/>
  <c r="F87" i="5" s="1"/>
  <c r="F84" i="5"/>
  <c r="F85" i="5" s="1"/>
  <c r="F82" i="5"/>
  <c r="F83" i="5" s="1"/>
  <c r="F80" i="5"/>
  <c r="F81" i="5" s="1"/>
  <c r="F78" i="5"/>
  <c r="F79" i="5" s="1"/>
  <c r="F76" i="5"/>
  <c r="F77" i="5" s="1"/>
  <c r="F75" i="5"/>
  <c r="F74" i="5"/>
  <c r="F72" i="5"/>
  <c r="F73" i="5"/>
  <c r="F70" i="5"/>
  <c r="F71" i="5" s="1"/>
  <c r="G67" i="6"/>
  <c r="G68" i="6" s="1"/>
  <c r="H67" i="6"/>
  <c r="H68" i="6" s="1"/>
  <c r="I67" i="6"/>
  <c r="I68" i="6" s="1"/>
  <c r="J67" i="6"/>
  <c r="J68" i="6" s="1"/>
  <c r="G69" i="6"/>
  <c r="G70" i="6" s="1"/>
  <c r="H69" i="6"/>
  <c r="H70" i="6" s="1"/>
  <c r="I69" i="6"/>
  <c r="I70" i="6" s="1"/>
  <c r="J69" i="6"/>
  <c r="J70" i="6" s="1"/>
  <c r="G71" i="6"/>
  <c r="G72" i="6" s="1"/>
  <c r="H71" i="6"/>
  <c r="H72" i="6" s="1"/>
  <c r="I71" i="6"/>
  <c r="I72" i="6" s="1"/>
  <c r="J71" i="6"/>
  <c r="J72" i="6" s="1"/>
  <c r="G73" i="6"/>
  <c r="G74" i="6" s="1"/>
  <c r="H73" i="6"/>
  <c r="H74" i="6" s="1"/>
  <c r="I73" i="6"/>
  <c r="I74" i="6" s="1"/>
  <c r="J73" i="6"/>
  <c r="J74" i="6" s="1"/>
  <c r="G75" i="6"/>
  <c r="H75" i="6"/>
  <c r="H76" i="6" s="1"/>
  <c r="I75" i="6"/>
  <c r="I76" i="6" s="1"/>
  <c r="J75" i="6"/>
  <c r="J76" i="6" s="1"/>
  <c r="G76" i="6"/>
  <c r="G77" i="6"/>
  <c r="G78" i="6" s="1"/>
  <c r="H77" i="6"/>
  <c r="H78" i="6" s="1"/>
  <c r="I77" i="6"/>
  <c r="J77" i="6"/>
  <c r="J78" i="6" s="1"/>
  <c r="I78" i="6"/>
  <c r="G79" i="6"/>
  <c r="G80" i="6" s="1"/>
  <c r="H79" i="6"/>
  <c r="H80" i="6" s="1"/>
  <c r="G81" i="6"/>
  <c r="G82" i="6" s="1"/>
  <c r="H81" i="6"/>
  <c r="H82" i="6" s="1"/>
  <c r="I81" i="6"/>
  <c r="I82" i="6" s="1"/>
  <c r="J81" i="6"/>
  <c r="J82" i="6" s="1"/>
  <c r="G83" i="6"/>
  <c r="G84" i="6" s="1"/>
  <c r="H83" i="6"/>
  <c r="I83" i="6"/>
  <c r="I84" i="6" s="1"/>
  <c r="J83" i="6"/>
  <c r="J84" i="6" s="1"/>
  <c r="H84" i="6"/>
  <c r="G85" i="6"/>
  <c r="G86" i="6" s="1"/>
  <c r="H85" i="6"/>
  <c r="H86" i="6" s="1"/>
  <c r="I85" i="6"/>
  <c r="I86" i="6" s="1"/>
  <c r="J85" i="6"/>
  <c r="J86" i="6" s="1"/>
  <c r="G87" i="6"/>
  <c r="G88" i="6" s="1"/>
  <c r="H87" i="6"/>
  <c r="H88" i="6" s="1"/>
  <c r="I87" i="6"/>
  <c r="I88" i="6" s="1"/>
  <c r="J87" i="6"/>
  <c r="J88" i="6" s="1"/>
  <c r="G89" i="6"/>
  <c r="G90" i="6" s="1"/>
  <c r="H89" i="6"/>
  <c r="H90" i="6" s="1"/>
  <c r="I89" i="6"/>
  <c r="I90" i="6" s="1"/>
  <c r="J89" i="6"/>
  <c r="J90" i="6" s="1"/>
  <c r="G91" i="6"/>
  <c r="H91" i="6"/>
  <c r="I91" i="6"/>
  <c r="J91" i="6"/>
  <c r="F89" i="6"/>
  <c r="F90" i="6" s="1"/>
  <c r="F87" i="6"/>
  <c r="F88" i="6" s="1"/>
  <c r="F85" i="6"/>
  <c r="F86" i="6" s="1"/>
  <c r="F83" i="6"/>
  <c r="F84" i="6" s="1"/>
  <c r="F81" i="6"/>
  <c r="F82" i="6" s="1"/>
  <c r="F77" i="6"/>
  <c r="F78" i="6"/>
  <c r="F75" i="6"/>
  <c r="F76" i="6" s="1"/>
  <c r="F73" i="6"/>
  <c r="F74" i="6" s="1"/>
  <c r="F71" i="6"/>
  <c r="F72" i="6" s="1"/>
  <c r="F69" i="6"/>
  <c r="F70" i="6" s="1"/>
  <c r="F67" i="6"/>
  <c r="F68" i="6" s="1"/>
  <c r="G66" i="7"/>
  <c r="G67" i="7" s="1"/>
  <c r="H66" i="7"/>
  <c r="H67" i="7" s="1"/>
  <c r="I66" i="7"/>
  <c r="I67" i="7" s="1"/>
  <c r="J66" i="7"/>
  <c r="J67" i="7" s="1"/>
  <c r="G68" i="7"/>
  <c r="G69" i="7" s="1"/>
  <c r="H68" i="7"/>
  <c r="H69" i="7" s="1"/>
  <c r="I68" i="7"/>
  <c r="I69" i="7" s="1"/>
  <c r="J68" i="7"/>
  <c r="J69" i="7" s="1"/>
  <c r="G70" i="7"/>
  <c r="G71" i="7" s="1"/>
  <c r="H70" i="7"/>
  <c r="H71" i="7" s="1"/>
  <c r="I70" i="7"/>
  <c r="I71" i="7" s="1"/>
  <c r="J70" i="7"/>
  <c r="J71" i="7" s="1"/>
  <c r="G72" i="7"/>
  <c r="G73" i="7" s="1"/>
  <c r="H72" i="7"/>
  <c r="H73" i="7" s="1"/>
  <c r="I72" i="7"/>
  <c r="I73" i="7" s="1"/>
  <c r="J72" i="7"/>
  <c r="J73" i="7" s="1"/>
  <c r="F72" i="7"/>
  <c r="F73" i="7" s="1"/>
  <c r="F70" i="7"/>
  <c r="F71" i="7" s="1"/>
  <c r="F68" i="7"/>
  <c r="F69" i="7" s="1"/>
  <c r="F66" i="7"/>
  <c r="F67" i="7" s="1"/>
  <c r="J7" i="66"/>
  <c r="H8" i="64"/>
  <c r="I8" i="64" s="1"/>
  <c r="J8" i="64" s="1"/>
  <c r="K8" i="64" s="1"/>
  <c r="G11" i="64"/>
  <c r="H9" i="64"/>
  <c r="I9" i="64" s="1"/>
  <c r="J9" i="64" s="1"/>
  <c r="H10" i="64"/>
  <c r="I10" i="64" s="1"/>
  <c r="J10" i="64"/>
  <c r="K10" i="64" s="1"/>
  <c r="D7" i="66"/>
  <c r="K7" i="66" s="1"/>
  <c r="H7" i="64"/>
  <c r="G7" i="64"/>
  <c r="I2" i="64"/>
  <c r="J2" i="64" s="1"/>
  <c r="I7" i="64"/>
  <c r="F85" i="63"/>
  <c r="F84" i="63"/>
  <c r="F83" i="63"/>
  <c r="F71" i="63"/>
  <c r="F70" i="63"/>
  <c r="F69" i="63"/>
  <c r="F60" i="63"/>
  <c r="B2" i="63"/>
  <c r="C8" i="66"/>
  <c r="G19" i="64"/>
  <c r="C2" i="20"/>
  <c r="C2" i="54"/>
  <c r="C2" i="4"/>
  <c r="E36" i="59"/>
  <c r="K15" i="59"/>
  <c r="L10" i="59"/>
  <c r="P9" i="59"/>
  <c r="P10" i="59" s="1"/>
  <c r="P11" i="59"/>
  <c r="P12" i="59" s="1"/>
  <c r="O8" i="59"/>
  <c r="O9" i="59" s="1"/>
  <c r="D2" i="59"/>
  <c r="C2" i="59"/>
  <c r="D7" i="4"/>
  <c r="C2" i="3"/>
  <c r="D2" i="20"/>
  <c r="D2" i="54"/>
  <c r="D2" i="4"/>
  <c r="B2" i="3"/>
  <c r="D2" i="3"/>
  <c r="H5" i="54"/>
  <c r="G5" i="54" s="1"/>
  <c r="F5" i="54" s="1"/>
  <c r="E5" i="54" s="1"/>
  <c r="O8" i="20"/>
  <c r="O9" i="20"/>
  <c r="O10" i="20" s="1"/>
  <c r="O11" i="20" s="1"/>
  <c r="O12" i="20" s="1"/>
  <c r="P14" i="20" s="1"/>
  <c r="L12" i="20" s="1"/>
  <c r="P9" i="20"/>
  <c r="P10" i="20" s="1"/>
  <c r="P11" i="20" s="1"/>
  <c r="P12" i="20" s="1"/>
  <c r="L10" i="20"/>
  <c r="K15" i="20"/>
  <c r="E39" i="20"/>
  <c r="I114" i="4"/>
  <c r="I30" i="54" s="1"/>
  <c r="H114" i="4"/>
  <c r="H30" i="54" s="1"/>
  <c r="G114" i="4"/>
  <c r="G30" i="54" s="1"/>
  <c r="F114" i="4"/>
  <c r="F30" i="54" s="1"/>
  <c r="E114" i="4"/>
  <c r="E30" i="54" s="1"/>
  <c r="E113" i="4"/>
  <c r="E31" i="54" s="1"/>
  <c r="H5" i="3"/>
  <c r="G5" i="3" s="1"/>
  <c r="F5" i="3" s="1"/>
  <c r="E5" i="3" s="1"/>
  <c r="I22" i="4"/>
  <c r="G60" i="4"/>
  <c r="F31" i="4"/>
  <c r="C1" i="7"/>
  <c r="F2" i="5"/>
  <c r="G3" i="5" s="1"/>
  <c r="I116" i="4"/>
  <c r="I56" i="59" s="1"/>
  <c r="H116" i="4"/>
  <c r="H59" i="20" s="1"/>
  <c r="G116" i="4"/>
  <c r="G56" i="59" s="1"/>
  <c r="F116" i="4"/>
  <c r="F59" i="20" s="1"/>
  <c r="E116" i="4"/>
  <c r="E56" i="59" s="1"/>
  <c r="I113" i="4"/>
  <c r="I31" i="54" s="1"/>
  <c r="H113" i="4"/>
  <c r="H31" i="54" s="1"/>
  <c r="G113" i="4"/>
  <c r="F113" i="4"/>
  <c r="F31" i="54" s="1"/>
  <c r="I110" i="4"/>
  <c r="H110" i="4"/>
  <c r="G110" i="4"/>
  <c r="F110" i="4"/>
  <c r="E110" i="4"/>
  <c r="I109" i="4"/>
  <c r="H109" i="4"/>
  <c r="H52" i="20" s="1"/>
  <c r="G109" i="4"/>
  <c r="G52" i="20" s="1"/>
  <c r="F109" i="4"/>
  <c r="F49" i="59" s="1"/>
  <c r="E109" i="4"/>
  <c r="E52" i="20" s="1"/>
  <c r="I108" i="4"/>
  <c r="H108" i="4"/>
  <c r="G108" i="4"/>
  <c r="F108" i="4"/>
  <c r="E108" i="4"/>
  <c r="I107" i="4"/>
  <c r="H107" i="4"/>
  <c r="G107" i="4"/>
  <c r="F107" i="4"/>
  <c r="E107" i="4"/>
  <c r="I106" i="4"/>
  <c r="I21" i="54" s="1"/>
  <c r="H106" i="4"/>
  <c r="G106" i="4"/>
  <c r="G21" i="54" s="1"/>
  <c r="F106" i="4"/>
  <c r="F21" i="54" s="1"/>
  <c r="E106" i="4"/>
  <c r="E21" i="54" s="1"/>
  <c r="I103" i="4"/>
  <c r="H103" i="4"/>
  <c r="G103" i="4"/>
  <c r="F103" i="4"/>
  <c r="E103" i="4"/>
  <c r="I102" i="4"/>
  <c r="H102" i="4"/>
  <c r="G102" i="4"/>
  <c r="F102" i="4"/>
  <c r="E102" i="4"/>
  <c r="I101" i="4"/>
  <c r="H101" i="4"/>
  <c r="G101" i="4"/>
  <c r="F101" i="4"/>
  <c r="E101" i="4"/>
  <c r="I100" i="4"/>
  <c r="H100" i="4"/>
  <c r="G100" i="4"/>
  <c r="F100" i="4"/>
  <c r="E100" i="4"/>
  <c r="I118" i="4"/>
  <c r="I36" i="54" s="1"/>
  <c r="H118" i="4"/>
  <c r="H36" i="54" s="1"/>
  <c r="G118" i="4"/>
  <c r="G36" i="54" s="1"/>
  <c r="F118" i="4"/>
  <c r="F36" i="54" s="1"/>
  <c r="E118" i="4"/>
  <c r="E36" i="54" s="1"/>
  <c r="I117" i="4"/>
  <c r="H117" i="4"/>
  <c r="G117" i="4"/>
  <c r="F117" i="4"/>
  <c r="E117" i="4"/>
  <c r="I123" i="4"/>
  <c r="I41" i="54" s="1"/>
  <c r="H123" i="4"/>
  <c r="H41" i="54" s="1"/>
  <c r="G123" i="4"/>
  <c r="G41" i="54" s="1"/>
  <c r="F123" i="4"/>
  <c r="F41" i="54" s="1"/>
  <c r="E123" i="4"/>
  <c r="E41" i="54" s="1"/>
  <c r="I122" i="4"/>
  <c r="H122" i="4"/>
  <c r="G122" i="4"/>
  <c r="F122" i="4"/>
  <c r="E122" i="4"/>
  <c r="I121" i="4"/>
  <c r="I39" i="54" s="1"/>
  <c r="H121" i="4"/>
  <c r="H39" i="54" s="1"/>
  <c r="G121" i="4"/>
  <c r="G39" i="54" s="1"/>
  <c r="F121" i="4"/>
  <c r="F39" i="54" s="1"/>
  <c r="E121" i="4"/>
  <c r="E39" i="54" s="1"/>
  <c r="I97" i="4"/>
  <c r="I136" i="4" s="1"/>
  <c r="H97" i="4"/>
  <c r="H136" i="4" s="1"/>
  <c r="G97" i="4"/>
  <c r="G136" i="4" s="1"/>
  <c r="F97" i="4"/>
  <c r="E97" i="4"/>
  <c r="E136" i="4" s="1"/>
  <c r="I94" i="4"/>
  <c r="I135" i="4" s="1"/>
  <c r="H94" i="4"/>
  <c r="H135" i="4" s="1"/>
  <c r="G94" i="4"/>
  <c r="G135" i="4" s="1"/>
  <c r="F94" i="4"/>
  <c r="E94" i="4"/>
  <c r="E29" i="54" s="1"/>
  <c r="I95" i="4"/>
  <c r="H95" i="4"/>
  <c r="G95" i="4"/>
  <c r="F95" i="4"/>
  <c r="E95" i="4"/>
  <c r="I93" i="4"/>
  <c r="H93" i="4"/>
  <c r="G93" i="4"/>
  <c r="F93" i="4"/>
  <c r="E93" i="4"/>
  <c r="I92" i="4"/>
  <c r="I55" i="20" s="1"/>
  <c r="H92" i="4"/>
  <c r="G92" i="4"/>
  <c r="F92" i="4"/>
  <c r="E92" i="4"/>
  <c r="I91" i="4"/>
  <c r="H91" i="4"/>
  <c r="G91" i="4"/>
  <c r="F91" i="4"/>
  <c r="E91" i="4"/>
  <c r="I90" i="4"/>
  <c r="H90" i="4"/>
  <c r="G90" i="4"/>
  <c r="F90" i="4"/>
  <c r="E90" i="4"/>
  <c r="I89" i="4"/>
  <c r="I43" i="59" s="1"/>
  <c r="H89" i="4"/>
  <c r="H19" i="54" s="1"/>
  <c r="G89" i="4"/>
  <c r="G43" i="59" s="1"/>
  <c r="F89" i="4"/>
  <c r="E89" i="4"/>
  <c r="E43" i="59" s="1"/>
  <c r="I87" i="4"/>
  <c r="I35" i="54" s="1"/>
  <c r="H87" i="4"/>
  <c r="G87" i="4"/>
  <c r="F87" i="4"/>
  <c r="F35" i="54" s="1"/>
  <c r="E87" i="4"/>
  <c r="E35" i="54" s="1"/>
  <c r="I86" i="4"/>
  <c r="I15" i="54" s="1"/>
  <c r="H86" i="4"/>
  <c r="H15" i="54" s="1"/>
  <c r="G86" i="4"/>
  <c r="G15" i="54" s="1"/>
  <c r="F86" i="4"/>
  <c r="F15" i="54" s="1"/>
  <c r="E86" i="4"/>
  <c r="E15" i="54" s="1"/>
  <c r="I84" i="4"/>
  <c r="I31" i="59" s="1"/>
  <c r="H84" i="4"/>
  <c r="H31" i="59" s="1"/>
  <c r="G84" i="4"/>
  <c r="G32" i="20" s="1"/>
  <c r="F84" i="4"/>
  <c r="F32" i="20" s="1"/>
  <c r="E84" i="4"/>
  <c r="E31" i="59" s="1"/>
  <c r="I83" i="4"/>
  <c r="I31" i="20" s="1"/>
  <c r="H83" i="4"/>
  <c r="H30" i="59" s="1"/>
  <c r="G83" i="4"/>
  <c r="G31" i="20" s="1"/>
  <c r="F83" i="4"/>
  <c r="F31" i="20" s="1"/>
  <c r="E83" i="4"/>
  <c r="E30" i="59" s="1"/>
  <c r="I82" i="4"/>
  <c r="I30" i="20" s="1"/>
  <c r="H82" i="4"/>
  <c r="G82" i="4"/>
  <c r="G30" i="20" s="1"/>
  <c r="F82" i="4"/>
  <c r="F30" i="20" s="1"/>
  <c r="E82" i="4"/>
  <c r="E30" i="20" s="1"/>
  <c r="I79" i="4"/>
  <c r="I35" i="20" s="1"/>
  <c r="H79" i="4"/>
  <c r="H35" i="20" s="1"/>
  <c r="G79" i="4"/>
  <c r="F79" i="4"/>
  <c r="F32" i="59" s="1"/>
  <c r="E79" i="4"/>
  <c r="E35" i="20" s="1"/>
  <c r="I78" i="4"/>
  <c r="I36" i="20" s="1"/>
  <c r="H78" i="4"/>
  <c r="G78" i="4"/>
  <c r="G33" i="59" s="1"/>
  <c r="F78" i="4"/>
  <c r="F36" i="20" s="1"/>
  <c r="E78" i="4"/>
  <c r="E36" i="20" s="1"/>
  <c r="I77" i="4"/>
  <c r="I27" i="20" s="1"/>
  <c r="H77" i="4"/>
  <c r="H14" i="54" s="1"/>
  <c r="G77" i="4"/>
  <c r="G14" i="54" s="1"/>
  <c r="G27" i="59"/>
  <c r="F77" i="4"/>
  <c r="F27" i="59" s="1"/>
  <c r="E77" i="4"/>
  <c r="E27" i="59" s="1"/>
  <c r="I76" i="4"/>
  <c r="I26" i="20" s="1"/>
  <c r="H76" i="4"/>
  <c r="H26" i="20" s="1"/>
  <c r="G76" i="4"/>
  <c r="G26" i="20" s="1"/>
  <c r="F76" i="4"/>
  <c r="E76" i="4"/>
  <c r="E26" i="59" s="1"/>
  <c r="I75" i="4"/>
  <c r="I25" i="20" s="1"/>
  <c r="H75" i="4"/>
  <c r="G75" i="4"/>
  <c r="G25" i="20" s="1"/>
  <c r="F75" i="4"/>
  <c r="E75" i="4"/>
  <c r="E12" i="54" s="1"/>
  <c r="I44" i="4"/>
  <c r="H44" i="4"/>
  <c r="G44" i="4"/>
  <c r="F44" i="4"/>
  <c r="E44" i="4"/>
  <c r="C7" i="4"/>
  <c r="D7" i="59"/>
  <c r="C7" i="59"/>
  <c r="D42" i="59"/>
  <c r="D70" i="59" s="1"/>
  <c r="C42" i="59"/>
  <c r="G49" i="59"/>
  <c r="I59" i="20"/>
  <c r="H21" i="4"/>
  <c r="G18" i="4"/>
  <c r="I14" i="4"/>
  <c r="I28" i="4"/>
  <c r="H28" i="4"/>
  <c r="G9" i="4"/>
  <c r="G41" i="4"/>
  <c r="G73" i="59" s="1"/>
  <c r="I17" i="4"/>
  <c r="H43" i="4"/>
  <c r="J8" i="66"/>
  <c r="H14" i="4"/>
  <c r="G35" i="4" l="1"/>
  <c r="H62" i="4"/>
  <c r="H42" i="3"/>
  <c r="H75" i="59"/>
  <c r="G13" i="4"/>
  <c r="I37" i="4"/>
  <c r="I75" i="20" s="1"/>
  <c r="G17" i="4"/>
  <c r="E37" i="4"/>
  <c r="E72" i="59" s="1"/>
  <c r="I47" i="4"/>
  <c r="E62" i="4"/>
  <c r="E66" i="4"/>
  <c r="E47" i="4"/>
  <c r="I55" i="63"/>
  <c r="H47" i="4"/>
  <c r="H49" i="4" s="1"/>
  <c r="H65" i="4"/>
  <c r="H67" i="4" s="1"/>
  <c r="G76" i="20"/>
  <c r="F24" i="54"/>
  <c r="F29" i="3"/>
  <c r="F41" i="4"/>
  <c r="F76" i="20" s="1"/>
  <c r="G56" i="4"/>
  <c r="N45" i="65"/>
  <c r="L43" i="79" s="1"/>
  <c r="M45" i="65"/>
  <c r="K43" i="79" s="1"/>
  <c r="L45" i="65"/>
  <c r="J43" i="79" s="1"/>
  <c r="K45" i="65"/>
  <c r="I43" i="79" s="1"/>
  <c r="J45" i="65"/>
  <c r="H43" i="79" s="1"/>
  <c r="K41" i="65"/>
  <c r="I42" i="79" s="1"/>
  <c r="J41" i="65"/>
  <c r="H42" i="79" s="1"/>
  <c r="K37" i="65"/>
  <c r="I41" i="79" s="1"/>
  <c r="J37" i="65"/>
  <c r="H41" i="79" s="1"/>
  <c r="J33" i="65"/>
  <c r="H40" i="79" s="1"/>
  <c r="L41" i="65"/>
  <c r="J42" i="79" s="1"/>
  <c r="L37" i="65"/>
  <c r="J41" i="79" s="1"/>
  <c r="K33" i="65"/>
  <c r="I40" i="79" s="1"/>
  <c r="L33" i="65"/>
  <c r="J40" i="79" s="1"/>
  <c r="N41" i="65"/>
  <c r="L42" i="79" s="1"/>
  <c r="M41" i="65"/>
  <c r="K42" i="79" s="1"/>
  <c r="M37" i="65"/>
  <c r="K41" i="79" s="1"/>
  <c r="N37" i="65"/>
  <c r="L41" i="79" s="1"/>
  <c r="N33" i="65"/>
  <c r="L40" i="79" s="1"/>
  <c r="M33" i="65"/>
  <c r="K40" i="79" s="1"/>
  <c r="J16" i="65"/>
  <c r="H34" i="79" s="1"/>
  <c r="N28" i="65"/>
  <c r="L37" i="79" s="1"/>
  <c r="M28" i="65"/>
  <c r="K37" i="79" s="1"/>
  <c r="L28" i="65"/>
  <c r="J37" i="79" s="1"/>
  <c r="K28" i="65"/>
  <c r="I37" i="79" s="1"/>
  <c r="J28" i="65"/>
  <c r="H37" i="79" s="1"/>
  <c r="N24" i="65"/>
  <c r="L36" i="79" s="1"/>
  <c r="M24" i="65"/>
  <c r="K36" i="79" s="1"/>
  <c r="L24" i="65"/>
  <c r="J36" i="79" s="1"/>
  <c r="K24" i="65"/>
  <c r="I36" i="79" s="1"/>
  <c r="J24" i="65"/>
  <c r="H36" i="79" s="1"/>
  <c r="N20" i="65"/>
  <c r="L35" i="79" s="1"/>
  <c r="M20" i="65"/>
  <c r="K35" i="79" s="1"/>
  <c r="L20" i="65"/>
  <c r="J35" i="79" s="1"/>
  <c r="K20" i="65"/>
  <c r="I35" i="79" s="1"/>
  <c r="J20" i="65"/>
  <c r="H35" i="79" s="1"/>
  <c r="N16" i="65"/>
  <c r="L34" i="79" s="1"/>
  <c r="M16" i="65"/>
  <c r="K34" i="79" s="1"/>
  <c r="L16" i="65"/>
  <c r="J34" i="79" s="1"/>
  <c r="K16" i="65"/>
  <c r="I34" i="79" s="1"/>
  <c r="I45" i="4"/>
  <c r="E47" i="20"/>
  <c r="F115" i="3"/>
  <c r="S80" i="3"/>
  <c r="U80" i="3"/>
  <c r="U78" i="3"/>
  <c r="U72" i="3"/>
  <c r="G116" i="3"/>
  <c r="E65" i="4"/>
  <c r="E38" i="4"/>
  <c r="E39" i="4" s="1"/>
  <c r="H38" i="63"/>
  <c r="H96" i="63" s="1"/>
  <c r="G48" i="4"/>
  <c r="F66" i="4"/>
  <c r="H56" i="4"/>
  <c r="F115" i="4"/>
  <c r="I115" i="3"/>
  <c r="G16" i="3"/>
  <c r="G79" i="20" s="1"/>
  <c r="E48" i="4"/>
  <c r="E49" i="4" s="1"/>
  <c r="I65" i="4"/>
  <c r="I67" i="4" s="1"/>
  <c r="I48" i="4"/>
  <c r="E42" i="3"/>
  <c r="I38" i="4"/>
  <c r="I39" i="4" s="1"/>
  <c r="F10" i="4"/>
  <c r="F11" i="4" s="1"/>
  <c r="G62" i="4"/>
  <c r="I66" i="4"/>
  <c r="R80" i="3"/>
  <c r="H116" i="3"/>
  <c r="G15" i="20"/>
  <c r="G14" i="3"/>
  <c r="G65" i="4"/>
  <c r="I42" i="3"/>
  <c r="U42" i="3" s="1"/>
  <c r="H40" i="3"/>
  <c r="T40" i="3" s="1"/>
  <c r="H54" i="59"/>
  <c r="F37" i="4"/>
  <c r="F72" i="59" s="1"/>
  <c r="G47" i="4"/>
  <c r="G49" i="4" s="1"/>
  <c r="M49" i="4" s="1"/>
  <c r="F3" i="6"/>
  <c r="F3" i="7" s="1"/>
  <c r="K3" i="7" s="1"/>
  <c r="H29" i="54"/>
  <c r="G17" i="3"/>
  <c r="G52" i="3" s="1"/>
  <c r="H15" i="59"/>
  <c r="G43" i="63"/>
  <c r="G39" i="3"/>
  <c r="I54" i="4"/>
  <c r="I53" i="4"/>
  <c r="I55" i="4" s="1"/>
  <c r="H18" i="3"/>
  <c r="H51" i="3" s="1"/>
  <c r="H54" i="4"/>
  <c r="H53" i="4"/>
  <c r="H55" i="4" s="1"/>
  <c r="E43" i="4"/>
  <c r="H155" i="73"/>
  <c r="H157" i="73" s="1"/>
  <c r="H160" i="73" s="1"/>
  <c r="E53" i="4"/>
  <c r="G38" i="4"/>
  <c r="G39" i="4" s="1"/>
  <c r="I29" i="3"/>
  <c r="H37" i="4"/>
  <c r="H75" i="20" s="1"/>
  <c r="I41" i="4"/>
  <c r="G46" i="20"/>
  <c r="G27" i="20"/>
  <c r="G28" i="20" s="1"/>
  <c r="F47" i="4"/>
  <c r="F42" i="3"/>
  <c r="R42" i="3" s="1"/>
  <c r="R79" i="3"/>
  <c r="E37" i="59"/>
  <c r="E9" i="4"/>
  <c r="E11" i="4" s="1"/>
  <c r="H28" i="3"/>
  <c r="J11" i="65"/>
  <c r="H28" i="79" s="1"/>
  <c r="M11" i="65"/>
  <c r="K28" i="79" s="1"/>
  <c r="K11" i="65"/>
  <c r="I28" i="79" s="1"/>
  <c r="N11" i="65"/>
  <c r="L28" i="79" s="1"/>
  <c r="L11" i="65"/>
  <c r="J28" i="79" s="1"/>
  <c r="H164" i="73"/>
  <c r="J7" i="74"/>
  <c r="J45" i="74"/>
  <c r="J7" i="64"/>
  <c r="K2" i="64"/>
  <c r="K7" i="64" s="1"/>
  <c r="H11" i="4"/>
  <c r="N59" i="4" s="1"/>
  <c r="G40" i="20"/>
  <c r="G113" i="3"/>
  <c r="G37" i="59"/>
  <c r="E19" i="4"/>
  <c r="H41" i="4"/>
  <c r="H73" i="59" s="1"/>
  <c r="H27" i="3"/>
  <c r="D23" i="59"/>
  <c r="E28" i="4"/>
  <c r="H28" i="63"/>
  <c r="C23" i="20"/>
  <c r="G59" i="20"/>
  <c r="H43" i="63"/>
  <c r="G24" i="54"/>
  <c r="E32" i="63"/>
  <c r="G40" i="63"/>
  <c r="D111" i="3"/>
  <c r="H10" i="4"/>
  <c r="C73" i="4"/>
  <c r="D48" i="3"/>
  <c r="F35" i="20"/>
  <c r="F125" i="3"/>
  <c r="G27" i="63"/>
  <c r="H29" i="3"/>
  <c r="U29" i="3" s="1"/>
  <c r="G28" i="4"/>
  <c r="H38" i="4"/>
  <c r="N38" i="4" s="1"/>
  <c r="F76" i="59"/>
  <c r="I40" i="4"/>
  <c r="D68" i="3"/>
  <c r="E15" i="3"/>
  <c r="E78" i="20" s="1"/>
  <c r="E28" i="3"/>
  <c r="G42" i="3"/>
  <c r="G38" i="63"/>
  <c r="G96" i="63" s="1"/>
  <c r="I13" i="4"/>
  <c r="I15" i="4" s="1"/>
  <c r="I56" i="4"/>
  <c r="D7" i="20"/>
  <c r="C111" i="3"/>
  <c r="G15" i="59"/>
  <c r="D50" i="63"/>
  <c r="H41" i="63"/>
  <c r="H61" i="4"/>
  <c r="N61" i="4" s="1"/>
  <c r="F17" i="4"/>
  <c r="E40" i="4"/>
  <c r="I37" i="3"/>
  <c r="U37" i="3" s="1"/>
  <c r="I11" i="64"/>
  <c r="I21" i="64" s="1"/>
  <c r="I18" i="64" s="1"/>
  <c r="E49" i="59"/>
  <c r="I7" i="4"/>
  <c r="I8" i="3" s="1"/>
  <c r="I48" i="3" s="1"/>
  <c r="D23" i="20"/>
  <c r="F96" i="4"/>
  <c r="F134" i="4" s="1"/>
  <c r="F54" i="59"/>
  <c r="G115" i="4"/>
  <c r="I40" i="3"/>
  <c r="H14" i="3"/>
  <c r="H11" i="3"/>
  <c r="I28" i="3"/>
  <c r="H19" i="63"/>
  <c r="I75" i="59"/>
  <c r="G41" i="63"/>
  <c r="C70" i="59"/>
  <c r="H56" i="59"/>
  <c r="H13" i="4"/>
  <c r="H15" i="4" s="1"/>
  <c r="E18" i="4"/>
  <c r="I18" i="4"/>
  <c r="I19" i="4" s="1"/>
  <c r="D73" i="4"/>
  <c r="C8" i="3"/>
  <c r="C68" i="3"/>
  <c r="E56" i="4"/>
  <c r="F28" i="4"/>
  <c r="D8" i="54"/>
  <c r="I9" i="4"/>
  <c r="E14" i="4"/>
  <c r="C93" i="63"/>
  <c r="F39" i="3"/>
  <c r="I17" i="3"/>
  <c r="I52" i="3" s="1"/>
  <c r="H118" i="3"/>
  <c r="I60" i="4"/>
  <c r="C7" i="20"/>
  <c r="T37" i="3"/>
  <c r="C45" i="20"/>
  <c r="I116" i="3"/>
  <c r="F13" i="4"/>
  <c r="H40" i="4"/>
  <c r="N40" i="4" s="1"/>
  <c r="I14" i="54"/>
  <c r="H31" i="20"/>
  <c r="C49" i="63"/>
  <c r="H20" i="54"/>
  <c r="E25" i="3"/>
  <c r="I16" i="3"/>
  <c r="E27" i="72"/>
  <c r="D35" i="72"/>
  <c r="D43" i="72" s="1"/>
  <c r="D51" i="72" s="1"/>
  <c r="D58" i="72" s="1"/>
  <c r="D70" i="72" s="1"/>
  <c r="Z29" i="72"/>
  <c r="G28" i="72"/>
  <c r="H28" i="72" s="1"/>
  <c r="I28" i="72" s="1"/>
  <c r="J28" i="72" s="1"/>
  <c r="K28" i="72" s="1"/>
  <c r="L28" i="72" s="1"/>
  <c r="M28" i="72" s="1"/>
  <c r="N28" i="72" s="1"/>
  <c r="O28" i="72" s="1"/>
  <c r="P28" i="72" s="1"/>
  <c r="Q28" i="72" s="1"/>
  <c r="R28" i="72" s="1"/>
  <c r="S28" i="72" s="1"/>
  <c r="I21" i="73"/>
  <c r="F26" i="20"/>
  <c r="F26" i="59"/>
  <c r="F135" i="4"/>
  <c r="F29" i="54"/>
  <c r="H36" i="20"/>
  <c r="H33" i="59"/>
  <c r="G35" i="20"/>
  <c r="G32" i="59"/>
  <c r="F27" i="63"/>
  <c r="F26" i="3"/>
  <c r="S26" i="3" s="1"/>
  <c r="G31" i="3"/>
  <c r="G60" i="3" s="1"/>
  <c r="G31" i="63"/>
  <c r="G43" i="4"/>
  <c r="G45" i="4" s="1"/>
  <c r="M45" i="4" s="1"/>
  <c r="G27" i="3"/>
  <c r="T27" i="3" s="1"/>
  <c r="G28" i="63"/>
  <c r="H17" i="3"/>
  <c r="H18" i="63"/>
  <c r="H26" i="3"/>
  <c r="H27" i="63"/>
  <c r="H35" i="4"/>
  <c r="H27" i="59"/>
  <c r="H27" i="20"/>
  <c r="H23" i="54"/>
  <c r="H55" i="20"/>
  <c r="G111" i="4"/>
  <c r="F19" i="54"/>
  <c r="F43" i="59"/>
  <c r="F46" i="20"/>
  <c r="E15" i="20"/>
  <c r="E15" i="59"/>
  <c r="F18" i="3"/>
  <c r="F51" i="3" s="1"/>
  <c r="F22" i="4"/>
  <c r="F23" i="4" s="1"/>
  <c r="F31" i="63"/>
  <c r="F30" i="3"/>
  <c r="F59" i="3" s="1"/>
  <c r="F43" i="4"/>
  <c r="F45" i="4" s="1"/>
  <c r="F28" i="3"/>
  <c r="F40" i="4"/>
  <c r="E11" i="63"/>
  <c r="E12" i="63" s="1"/>
  <c r="E11" i="3"/>
  <c r="J11" i="64"/>
  <c r="K9" i="64"/>
  <c r="K11" i="64" s="1"/>
  <c r="F10" i="63"/>
  <c r="F12" i="63" s="1"/>
  <c r="F10" i="3"/>
  <c r="H16" i="3"/>
  <c r="H17" i="63"/>
  <c r="H17" i="4"/>
  <c r="H19" i="4" s="1"/>
  <c r="I26" i="63"/>
  <c r="I25" i="3"/>
  <c r="U25" i="3" s="1"/>
  <c r="N14" i="4"/>
  <c r="N56" i="4"/>
  <c r="F29" i="59"/>
  <c r="F52" i="20"/>
  <c r="H29" i="59"/>
  <c r="H28" i="59" s="1"/>
  <c r="H30" i="20"/>
  <c r="G77" i="59"/>
  <c r="G40" i="3"/>
  <c r="T24" i="3"/>
  <c r="G30" i="3"/>
  <c r="G59" i="3" s="1"/>
  <c r="E37" i="63"/>
  <c r="E36" i="3"/>
  <c r="E15" i="63"/>
  <c r="E14" i="3"/>
  <c r="R14" i="3" s="1"/>
  <c r="E13" i="4"/>
  <c r="E27" i="3"/>
  <c r="I14" i="3"/>
  <c r="I77" i="20" s="1"/>
  <c r="I11" i="3"/>
  <c r="I11" i="63"/>
  <c r="I10" i="4"/>
  <c r="G19" i="4"/>
  <c r="M19" i="4" s="1"/>
  <c r="D45" i="20"/>
  <c r="D8" i="3"/>
  <c r="C48" i="3"/>
  <c r="E25" i="59"/>
  <c r="E24" i="59" s="1"/>
  <c r="C23" i="59"/>
  <c r="C8" i="54"/>
  <c r="C7" i="63"/>
  <c r="G44" i="59"/>
  <c r="E23" i="54"/>
  <c r="H24" i="54"/>
  <c r="F56" i="20"/>
  <c r="G57" i="20"/>
  <c r="H11" i="64"/>
  <c r="D8" i="63"/>
  <c r="S14" i="3"/>
  <c r="E17" i="3"/>
  <c r="E52" i="3" s="1"/>
  <c r="F43" i="63"/>
  <c r="F40" i="63"/>
  <c r="U15" i="3"/>
  <c r="F99" i="63"/>
  <c r="I61" i="4"/>
  <c r="G52" i="59"/>
  <c r="H32" i="54"/>
  <c r="G34" i="4"/>
  <c r="I34" i="4"/>
  <c r="E7" i="66"/>
  <c r="F65" i="4"/>
  <c r="F19" i="63"/>
  <c r="I41" i="63"/>
  <c r="L77" i="63"/>
  <c r="M77" i="63"/>
  <c r="N77" i="63"/>
  <c r="K77" i="63"/>
  <c r="H36" i="3"/>
  <c r="J96" i="63"/>
  <c r="K26" i="81" s="1"/>
  <c r="H87" i="73"/>
  <c r="G2" i="67"/>
  <c r="K2" i="74"/>
  <c r="J68" i="74"/>
  <c r="J69" i="74" s="1"/>
  <c r="H3" i="5"/>
  <c r="H7" i="4"/>
  <c r="H8" i="54" s="1"/>
  <c r="G3" i="6"/>
  <c r="G3" i="7" s="1"/>
  <c r="L3" i="7" s="1"/>
  <c r="P15" i="20"/>
  <c r="H80" i="20"/>
  <c r="I118" i="3"/>
  <c r="G53" i="20"/>
  <c r="F73" i="3"/>
  <c r="I15" i="20"/>
  <c r="G126" i="3"/>
  <c r="F108" i="63"/>
  <c r="H47" i="20"/>
  <c r="F52" i="59"/>
  <c r="H117" i="3"/>
  <c r="I58" i="20"/>
  <c r="E29" i="59"/>
  <c r="E28" i="59" s="1"/>
  <c r="G12" i="54"/>
  <c r="H45" i="59"/>
  <c r="F55" i="59"/>
  <c r="R77" i="3"/>
  <c r="F56" i="59"/>
  <c r="I23" i="4"/>
  <c r="F75" i="20"/>
  <c r="H45" i="4"/>
  <c r="G23" i="54"/>
  <c r="E45" i="59"/>
  <c r="H57" i="20"/>
  <c r="G58" i="20"/>
  <c r="I115" i="4"/>
  <c r="T26" i="3"/>
  <c r="H40" i="20"/>
  <c r="H113" i="3"/>
  <c r="H77" i="59"/>
  <c r="E45" i="4"/>
  <c r="I30" i="59"/>
  <c r="H32" i="20"/>
  <c r="H26" i="59"/>
  <c r="H52" i="59"/>
  <c r="F45" i="59"/>
  <c r="I54" i="59"/>
  <c r="E26" i="20"/>
  <c r="G35" i="54"/>
  <c r="E20" i="54"/>
  <c r="I25" i="54"/>
  <c r="G100" i="63"/>
  <c r="F47" i="20"/>
  <c r="F16" i="54"/>
  <c r="G53" i="59"/>
  <c r="I45" i="59"/>
  <c r="F80" i="4"/>
  <c r="F131" i="4" s="1"/>
  <c r="I104" i="4"/>
  <c r="F117" i="3"/>
  <c r="F12" i="54"/>
  <c r="G117" i="3"/>
  <c r="E56" i="20"/>
  <c r="E32" i="20"/>
  <c r="I32" i="20"/>
  <c r="I33" i="20" s="1"/>
  <c r="I29" i="59"/>
  <c r="I28" i="59" s="1"/>
  <c r="G25" i="59"/>
  <c r="G80" i="4"/>
  <c r="G131" i="4" s="1"/>
  <c r="F85" i="4"/>
  <c r="F11" i="54" s="1"/>
  <c r="F44" i="59"/>
  <c r="E135" i="4"/>
  <c r="I48" i="20"/>
  <c r="G55" i="59"/>
  <c r="S77" i="3"/>
  <c r="R78" i="3"/>
  <c r="I23" i="54"/>
  <c r="F27" i="20"/>
  <c r="F48" i="20"/>
  <c r="I57" i="20"/>
  <c r="F30" i="59"/>
  <c r="H46" i="20"/>
  <c r="H16" i="54"/>
  <c r="H32" i="59"/>
  <c r="E31" i="20"/>
  <c r="F32" i="54"/>
  <c r="I32" i="54"/>
  <c r="E73" i="3"/>
  <c r="S70" i="3"/>
  <c r="I29" i="54"/>
  <c r="I33" i="54" s="1"/>
  <c r="E14" i="54"/>
  <c r="I25" i="59"/>
  <c r="E53" i="59"/>
  <c r="H40" i="54"/>
  <c r="E25" i="54"/>
  <c r="H21" i="54"/>
  <c r="S72" i="3"/>
  <c r="I100" i="63"/>
  <c r="E80" i="4"/>
  <c r="E131" i="4" s="1"/>
  <c r="G96" i="4"/>
  <c r="G134" i="4" s="1"/>
  <c r="G16" i="54"/>
  <c r="E27" i="20"/>
  <c r="F33" i="59"/>
  <c r="H43" i="59"/>
  <c r="I40" i="54"/>
  <c r="F104" i="4"/>
  <c r="I111" i="4"/>
  <c r="R72" i="3"/>
  <c r="G50" i="59"/>
  <c r="J84" i="63"/>
  <c r="K84" i="63" s="1"/>
  <c r="L84" i="63" s="1"/>
  <c r="M84" i="63" s="1"/>
  <c r="N84" i="63" s="1"/>
  <c r="I49" i="59"/>
  <c r="E32" i="54"/>
  <c r="E33" i="54" s="1"/>
  <c r="H55" i="59"/>
  <c r="F53" i="20"/>
  <c r="I119" i="3"/>
  <c r="H125" i="3"/>
  <c r="K83" i="63"/>
  <c r="L83" i="63" s="1"/>
  <c r="M83" i="63" s="1"/>
  <c r="N83" i="63" s="1"/>
  <c r="I52" i="20"/>
  <c r="E50" i="59"/>
  <c r="F126" i="3"/>
  <c r="J109" i="63"/>
  <c r="K69" i="63"/>
  <c r="G40" i="54"/>
  <c r="I55" i="59"/>
  <c r="E30" i="3"/>
  <c r="E59" i="3" s="1"/>
  <c r="F11" i="3"/>
  <c r="G54" i="4"/>
  <c r="G55" i="4" s="1"/>
  <c r="M55" i="4" s="1"/>
  <c r="F17" i="63"/>
  <c r="N28" i="4"/>
  <c r="T14" i="3"/>
  <c r="E43" i="63"/>
  <c r="E24" i="3"/>
  <c r="F48" i="4"/>
  <c r="F38" i="4"/>
  <c r="I43" i="63"/>
  <c r="F61" i="4"/>
  <c r="G11" i="4"/>
  <c r="F24" i="3"/>
  <c r="I40" i="63"/>
  <c r="I27" i="59"/>
  <c r="I28" i="20"/>
  <c r="I85" i="4"/>
  <c r="I11" i="54" s="1"/>
  <c r="I46" i="20"/>
  <c r="I47" i="20"/>
  <c r="I73" i="3"/>
  <c r="I117" i="3"/>
  <c r="I52" i="59"/>
  <c r="I98" i="63"/>
  <c r="I63" i="63"/>
  <c r="J101" i="69"/>
  <c r="J41" i="75"/>
  <c r="J42" i="75" s="1"/>
  <c r="H101" i="69"/>
  <c r="H41" i="75"/>
  <c r="H42" i="75" s="1"/>
  <c r="I20" i="73"/>
  <c r="H171" i="73"/>
  <c r="L171" i="73"/>
  <c r="J171" i="73"/>
  <c r="K2" i="72"/>
  <c r="H103" i="69"/>
  <c r="I101" i="69"/>
  <c r="K101" i="69"/>
  <c r="L101" i="69"/>
  <c r="I2" i="69"/>
  <c r="I108" i="69" s="1"/>
  <c r="H108" i="69"/>
  <c r="K88" i="69"/>
  <c r="H68" i="69"/>
  <c r="I51" i="69"/>
  <c r="H51" i="69"/>
  <c r="H52" i="69" s="1"/>
  <c r="H54" i="69" s="1"/>
  <c r="L51" i="69"/>
  <c r="K51" i="69"/>
  <c r="J51" i="69"/>
  <c r="I23" i="69"/>
  <c r="I31" i="69" s="1"/>
  <c r="H98" i="63"/>
  <c r="G109" i="63"/>
  <c r="F72" i="63"/>
  <c r="H79" i="63"/>
  <c r="J77" i="63"/>
  <c r="I45" i="73"/>
  <c r="N7" i="65"/>
  <c r="L27" i="79" s="1"/>
  <c r="J45" i="73"/>
  <c r="H44" i="73"/>
  <c r="H43" i="73" s="1"/>
  <c r="H45" i="73"/>
  <c r="K45" i="73"/>
  <c r="J7" i="65"/>
  <c r="H27" i="79" s="1"/>
  <c r="K7" i="65"/>
  <c r="I27" i="79" s="1"/>
  <c r="H180" i="73"/>
  <c r="L45" i="73"/>
  <c r="I180" i="73"/>
  <c r="L7" i="65"/>
  <c r="J27" i="79" s="1"/>
  <c r="M7" i="65"/>
  <c r="K27" i="79" s="1"/>
  <c r="G63" i="63"/>
  <c r="F100" i="63"/>
  <c r="G98" i="63"/>
  <c r="G101" i="63"/>
  <c r="K171" i="73"/>
  <c r="I171" i="73"/>
  <c r="I62" i="73"/>
  <c r="J62" i="73" s="1"/>
  <c r="K62" i="73" s="1"/>
  <c r="L62" i="73" s="1"/>
  <c r="I2" i="73"/>
  <c r="I164" i="73" s="1"/>
  <c r="I211" i="73"/>
  <c r="I222" i="73" s="1"/>
  <c r="I50" i="59"/>
  <c r="H72" i="63"/>
  <c r="I53" i="20"/>
  <c r="H115" i="4"/>
  <c r="I15" i="59"/>
  <c r="E53" i="20"/>
  <c r="G32" i="54"/>
  <c r="F58" i="20"/>
  <c r="G54" i="59"/>
  <c r="H50" i="59"/>
  <c r="F101" i="63"/>
  <c r="G104" i="4"/>
  <c r="G118" i="3"/>
  <c r="E48" i="20"/>
  <c r="H58" i="20"/>
  <c r="H48" i="20"/>
  <c r="I109" i="63"/>
  <c r="E55" i="59"/>
  <c r="I126" i="3"/>
  <c r="F40" i="54"/>
  <c r="E111" i="4"/>
  <c r="G31" i="54"/>
  <c r="H49" i="59"/>
  <c r="E115" i="4"/>
  <c r="H126" i="3"/>
  <c r="H25" i="54"/>
  <c r="F119" i="3"/>
  <c r="E54" i="59"/>
  <c r="F33" i="20"/>
  <c r="H104" i="4"/>
  <c r="F111" i="4"/>
  <c r="G13" i="54"/>
  <c r="I19" i="54"/>
  <c r="I20" i="54"/>
  <c r="I24" i="54"/>
  <c r="E57" i="20"/>
  <c r="F25" i="59"/>
  <c r="E40" i="54"/>
  <c r="I79" i="63"/>
  <c r="I90" i="3"/>
  <c r="I101" i="63"/>
  <c r="E104" i="4"/>
  <c r="F25" i="20"/>
  <c r="G25" i="54"/>
  <c r="F13" i="54"/>
  <c r="E24" i="54"/>
  <c r="I44" i="59"/>
  <c r="H35" i="54"/>
  <c r="F15" i="59"/>
  <c r="F57" i="20"/>
  <c r="F63" i="63"/>
  <c r="T76" i="3"/>
  <c r="G81" i="3"/>
  <c r="H90" i="3"/>
  <c r="E63" i="63"/>
  <c r="R71" i="3"/>
  <c r="E19" i="54"/>
  <c r="G85" i="4"/>
  <c r="I96" i="4"/>
  <c r="I134" i="4" s="1"/>
  <c r="E85" i="4"/>
  <c r="E11" i="54" s="1"/>
  <c r="G36" i="20"/>
  <c r="F14" i="54"/>
  <c r="E46" i="20"/>
  <c r="G48" i="20"/>
  <c r="G115" i="3"/>
  <c r="G55" i="20"/>
  <c r="I32" i="59"/>
  <c r="F50" i="59"/>
  <c r="G26" i="59"/>
  <c r="E33" i="59"/>
  <c r="I33" i="59"/>
  <c r="T72" i="3"/>
  <c r="G73" i="3"/>
  <c r="F79" i="63"/>
  <c r="G131" i="3"/>
  <c r="F109" i="63"/>
  <c r="H115" i="3"/>
  <c r="I102" i="63"/>
  <c r="F15" i="20"/>
  <c r="E58" i="20"/>
  <c r="G29" i="59"/>
  <c r="G45" i="59"/>
  <c r="I56" i="20"/>
  <c r="H111" i="4"/>
  <c r="I13" i="54"/>
  <c r="I16" i="54"/>
  <c r="F25" i="54"/>
  <c r="F90" i="3"/>
  <c r="H109" i="63"/>
  <c r="H55" i="63"/>
  <c r="E55" i="63"/>
  <c r="G29" i="54"/>
  <c r="E59" i="20"/>
  <c r="G20" i="54"/>
  <c r="E16" i="54"/>
  <c r="E13" i="54"/>
  <c r="G19" i="54"/>
  <c r="I26" i="59"/>
  <c r="G47" i="20"/>
  <c r="S79" i="3"/>
  <c r="G55" i="63"/>
  <c r="F55" i="63"/>
  <c r="G119" i="3"/>
  <c r="H119" i="3"/>
  <c r="E90" i="3"/>
  <c r="F118" i="3"/>
  <c r="R76" i="3"/>
  <c r="E55" i="20"/>
  <c r="E52" i="59"/>
  <c r="E96" i="4"/>
  <c r="I72" i="59"/>
  <c r="H25" i="20"/>
  <c r="H28" i="20" s="1"/>
  <c r="H12" i="54"/>
  <c r="H25" i="59"/>
  <c r="H96" i="4"/>
  <c r="H53" i="59"/>
  <c r="H56" i="20"/>
  <c r="G72" i="59"/>
  <c r="G75" i="20"/>
  <c r="G33" i="20"/>
  <c r="E81" i="3"/>
  <c r="F116" i="3"/>
  <c r="E75" i="20"/>
  <c r="H80" i="4"/>
  <c r="H131" i="4" s="1"/>
  <c r="K71" i="63"/>
  <c r="N30" i="4"/>
  <c r="H8" i="20"/>
  <c r="N62" i="4"/>
  <c r="N32" i="4"/>
  <c r="H111" i="3"/>
  <c r="E25" i="20"/>
  <c r="H73" i="3"/>
  <c r="G90" i="3"/>
  <c r="F97" i="3"/>
  <c r="T71" i="3"/>
  <c r="U71" i="3"/>
  <c r="F81" i="3"/>
  <c r="H102" i="63"/>
  <c r="G102" i="63"/>
  <c r="G79" i="63"/>
  <c r="F102" i="63"/>
  <c r="I80" i="4"/>
  <c r="I131" i="4" s="1"/>
  <c r="E55" i="4"/>
  <c r="H53" i="20"/>
  <c r="G67" i="4"/>
  <c r="F20" i="54"/>
  <c r="H13" i="54"/>
  <c r="G30" i="59"/>
  <c r="I53" i="59"/>
  <c r="F31" i="59"/>
  <c r="G31" i="59"/>
  <c r="F136" i="4"/>
  <c r="F53" i="59"/>
  <c r="I125" i="3"/>
  <c r="H15" i="20"/>
  <c r="E97" i="3"/>
  <c r="H108" i="63"/>
  <c r="G72" i="63"/>
  <c r="G108" i="63"/>
  <c r="H100" i="63"/>
  <c r="F98" i="63"/>
  <c r="E72" i="63"/>
  <c r="H85" i="4"/>
  <c r="G15" i="4"/>
  <c r="F23" i="54"/>
  <c r="G56" i="20"/>
  <c r="F55" i="20"/>
  <c r="E44" i="59"/>
  <c r="H44" i="59"/>
  <c r="H46" i="59" s="1"/>
  <c r="G125" i="3"/>
  <c r="I12" i="54"/>
  <c r="E32" i="59"/>
  <c r="E79" i="63"/>
  <c r="I81" i="3"/>
  <c r="S78" i="3"/>
  <c r="T78" i="3"/>
  <c r="I97" i="3"/>
  <c r="H99" i="63"/>
  <c r="I99" i="63"/>
  <c r="H63" i="63"/>
  <c r="H34" i="4"/>
  <c r="E34" i="4"/>
  <c r="G114" i="63"/>
  <c r="U76" i="3"/>
  <c r="T80" i="3"/>
  <c r="H81" i="3"/>
  <c r="H101" i="63"/>
  <c r="S71" i="3"/>
  <c r="S76" i="3"/>
  <c r="R70" i="3"/>
  <c r="U79" i="3"/>
  <c r="U77" i="3"/>
  <c r="H97" i="3"/>
  <c r="F34" i="4"/>
  <c r="U70" i="3"/>
  <c r="T79" i="3"/>
  <c r="T77" i="3"/>
  <c r="G97" i="3"/>
  <c r="O10" i="59"/>
  <c r="T70" i="3"/>
  <c r="F15" i="4"/>
  <c r="G61" i="4"/>
  <c r="F62" i="4"/>
  <c r="F40" i="3"/>
  <c r="F37" i="63"/>
  <c r="F36" i="3"/>
  <c r="F53" i="4"/>
  <c r="F17" i="3"/>
  <c r="F18" i="63"/>
  <c r="F18" i="4"/>
  <c r="H23" i="4"/>
  <c r="U30" i="3"/>
  <c r="I59" i="3"/>
  <c r="F41" i="63"/>
  <c r="F38" i="63"/>
  <c r="F37" i="3"/>
  <c r="S37" i="3" s="1"/>
  <c r="G18" i="3"/>
  <c r="G22" i="4"/>
  <c r="G29" i="63"/>
  <c r="G28" i="3"/>
  <c r="G40" i="4"/>
  <c r="G26" i="63"/>
  <c r="G25" i="3"/>
  <c r="E28" i="63"/>
  <c r="F77" i="20"/>
  <c r="N65" i="4"/>
  <c r="E18" i="3"/>
  <c r="E19" i="63"/>
  <c r="E21" i="4"/>
  <c r="E30" i="63"/>
  <c r="E29" i="3"/>
  <c r="E41" i="4"/>
  <c r="E17" i="63"/>
  <c r="E16" i="3"/>
  <c r="E39" i="3"/>
  <c r="E60" i="4"/>
  <c r="E41" i="63"/>
  <c r="H37" i="59"/>
  <c r="E40" i="63"/>
  <c r="G19" i="63"/>
  <c r="G29" i="3"/>
  <c r="G30" i="63"/>
  <c r="I32" i="63"/>
  <c r="G37" i="63"/>
  <c r="G36" i="3"/>
  <c r="H37" i="63"/>
  <c r="E38" i="63"/>
  <c r="F15" i="3"/>
  <c r="F16" i="63"/>
  <c r="H40" i="63"/>
  <c r="H39" i="3"/>
  <c r="I96" i="63"/>
  <c r="I10" i="63"/>
  <c r="F29" i="63"/>
  <c r="F31" i="3"/>
  <c r="F27" i="3"/>
  <c r="I26" i="3"/>
  <c r="I27" i="63"/>
  <c r="F28" i="63"/>
  <c r="F32" i="63"/>
  <c r="E10" i="3"/>
  <c r="I18" i="3"/>
  <c r="I19" i="63"/>
  <c r="I20" i="63" s="1"/>
  <c r="I27" i="3"/>
  <c r="G16" i="63"/>
  <c r="G15" i="3"/>
  <c r="H32" i="63"/>
  <c r="H31" i="3"/>
  <c r="I36" i="3"/>
  <c r="I37" i="63"/>
  <c r="E31" i="3"/>
  <c r="E27" i="63"/>
  <c r="E26" i="3"/>
  <c r="G32" i="63"/>
  <c r="I28" i="63"/>
  <c r="G11" i="63"/>
  <c r="G11" i="3"/>
  <c r="H10" i="63"/>
  <c r="H12" i="63" s="1"/>
  <c r="H10" i="3"/>
  <c r="G10" i="3"/>
  <c r="G10" i="63"/>
  <c r="I24" i="3"/>
  <c r="I25" i="63"/>
  <c r="F25" i="3"/>
  <c r="F15" i="63"/>
  <c r="I59" i="79" l="1"/>
  <c r="K61" i="79"/>
  <c r="H61" i="79"/>
  <c r="J59" i="79"/>
  <c r="K9" i="74" s="1"/>
  <c r="L61" i="79"/>
  <c r="H60" i="79"/>
  <c r="I60" i="79"/>
  <c r="J10" i="74" s="1"/>
  <c r="J61" i="79"/>
  <c r="J60" i="79"/>
  <c r="K10" i="74" s="1"/>
  <c r="I61" i="79"/>
  <c r="J11" i="74" s="1"/>
  <c r="K60" i="79"/>
  <c r="L10" i="74" s="1"/>
  <c r="L60" i="79"/>
  <c r="M10" i="74" s="1"/>
  <c r="K59" i="79"/>
  <c r="L9" i="74" s="1"/>
  <c r="L59" i="79"/>
  <c r="M9" i="74" s="1"/>
  <c r="H59" i="79"/>
  <c r="I9" i="74" s="1"/>
  <c r="I38" i="79"/>
  <c r="J38" i="79"/>
  <c r="K38" i="79"/>
  <c r="L38" i="79"/>
  <c r="H38" i="79"/>
  <c r="I62" i="79"/>
  <c r="J12" i="74" s="1"/>
  <c r="E67" i="4"/>
  <c r="N33" i="4"/>
  <c r="H26" i="81"/>
  <c r="I26" i="81"/>
  <c r="G26" i="81"/>
  <c r="J26" i="81"/>
  <c r="F73" i="59"/>
  <c r="H33" i="54"/>
  <c r="N34" i="4"/>
  <c r="H8" i="59"/>
  <c r="F58" i="3"/>
  <c r="N18" i="4"/>
  <c r="R29" i="3"/>
  <c r="N11" i="4"/>
  <c r="E22" i="54"/>
  <c r="E26" i="54" s="1"/>
  <c r="H33" i="63"/>
  <c r="I49" i="4"/>
  <c r="K62" i="79"/>
  <c r="J62" i="79"/>
  <c r="J9" i="74"/>
  <c r="H62" i="79"/>
  <c r="I10" i="74"/>
  <c r="L62" i="79"/>
  <c r="H73" i="4"/>
  <c r="N13" i="4"/>
  <c r="N19" i="4"/>
  <c r="H72" i="59"/>
  <c r="H7" i="20"/>
  <c r="H45" i="20" s="1"/>
  <c r="F33" i="54"/>
  <c r="I58" i="3"/>
  <c r="G76" i="59"/>
  <c r="U40" i="3"/>
  <c r="S16" i="3"/>
  <c r="F49" i="4"/>
  <c r="L49" i="4" s="1"/>
  <c r="S73" i="3"/>
  <c r="R28" i="3"/>
  <c r="N41" i="4"/>
  <c r="N60" i="4"/>
  <c r="H8" i="3"/>
  <c r="H48" i="3" s="1"/>
  <c r="T16" i="3"/>
  <c r="N21" i="4"/>
  <c r="N55" i="4"/>
  <c r="H7" i="59"/>
  <c r="H70" i="59" s="1"/>
  <c r="F67" i="4"/>
  <c r="L67" i="4" s="1"/>
  <c r="I50" i="4"/>
  <c r="H51" i="59"/>
  <c r="H57" i="59" s="1"/>
  <c r="I37" i="20"/>
  <c r="I42" i="20" s="1"/>
  <c r="N10" i="4"/>
  <c r="N37" i="4"/>
  <c r="N66" i="4"/>
  <c r="N23" i="4"/>
  <c r="N49" i="4"/>
  <c r="S42" i="3"/>
  <c r="N9" i="4"/>
  <c r="N45" i="4"/>
  <c r="T28" i="3"/>
  <c r="L40" i="4"/>
  <c r="L21" i="4"/>
  <c r="L41" i="4"/>
  <c r="F74" i="20"/>
  <c r="F66" i="20" s="1"/>
  <c r="K17" i="4"/>
  <c r="K32" i="4"/>
  <c r="K54" i="4"/>
  <c r="K10" i="4"/>
  <c r="K48" i="4"/>
  <c r="E71" i="59"/>
  <c r="K37" i="4"/>
  <c r="E74" i="20"/>
  <c r="K35" i="4"/>
  <c r="K9" i="4"/>
  <c r="K30" i="4"/>
  <c r="E8" i="20"/>
  <c r="K59" i="4"/>
  <c r="K38" i="4"/>
  <c r="K31" i="4"/>
  <c r="K11" i="4"/>
  <c r="K53" i="4"/>
  <c r="K33" i="4"/>
  <c r="K62" i="4"/>
  <c r="E8" i="59"/>
  <c r="K43" i="4"/>
  <c r="K22" i="4"/>
  <c r="K66" i="4"/>
  <c r="K44" i="4"/>
  <c r="K65" i="4"/>
  <c r="K47" i="4"/>
  <c r="K45" i="4"/>
  <c r="K18" i="4"/>
  <c r="F19" i="3"/>
  <c r="N53" i="4"/>
  <c r="K40" i="4"/>
  <c r="N22" i="4"/>
  <c r="F39" i="4"/>
  <c r="L39" i="4" s="1"/>
  <c r="N67" i="4"/>
  <c r="I7" i="20"/>
  <c r="I45" i="20" s="1"/>
  <c r="M28" i="4"/>
  <c r="I11" i="4"/>
  <c r="O45" i="4" s="1"/>
  <c r="K34" i="4"/>
  <c r="I119" i="4"/>
  <c r="I130" i="4" s="1"/>
  <c r="K13" i="4"/>
  <c r="I73" i="59"/>
  <c r="I76" i="20"/>
  <c r="N31" i="4"/>
  <c r="G61" i="3"/>
  <c r="N43" i="4"/>
  <c r="H71" i="59"/>
  <c r="H63" i="59" s="1"/>
  <c r="K67" i="4"/>
  <c r="N35" i="4"/>
  <c r="H58" i="3"/>
  <c r="N47" i="4"/>
  <c r="K39" i="4"/>
  <c r="N48" i="4"/>
  <c r="K14" i="4"/>
  <c r="K56" i="4"/>
  <c r="K49" i="4"/>
  <c r="H22" i="54"/>
  <c r="H26" i="54" s="1"/>
  <c r="H76" i="20"/>
  <c r="F12" i="3"/>
  <c r="L24" i="3" s="1"/>
  <c r="G77" i="20"/>
  <c r="G74" i="59"/>
  <c r="F49" i="20"/>
  <c r="F17" i="20" s="1"/>
  <c r="K28" i="4"/>
  <c r="K19" i="4"/>
  <c r="K55" i="4"/>
  <c r="N54" i="4"/>
  <c r="N44" i="4"/>
  <c r="S40" i="3"/>
  <c r="T42" i="3"/>
  <c r="H74" i="20"/>
  <c r="S39" i="3"/>
  <c r="I38" i="69"/>
  <c r="J38" i="69"/>
  <c r="L38" i="69"/>
  <c r="H38" i="69"/>
  <c r="H39" i="69" s="1"/>
  <c r="K38" i="69"/>
  <c r="J30" i="69"/>
  <c r="J40" i="69" s="1"/>
  <c r="L30" i="69"/>
  <c r="L59" i="69" s="1"/>
  <c r="K30" i="69"/>
  <c r="K8" i="75" s="1"/>
  <c r="E7" i="63"/>
  <c r="E93" i="63" s="1"/>
  <c r="F7" i="63"/>
  <c r="F93" i="63" s="1"/>
  <c r="G7" i="63"/>
  <c r="G93" i="63" s="1"/>
  <c r="H7" i="63"/>
  <c r="H93" i="63" s="1"/>
  <c r="I7" i="63"/>
  <c r="I93" i="63" s="1"/>
  <c r="J7" i="63"/>
  <c r="J83" i="73"/>
  <c r="J84" i="73" s="1"/>
  <c r="I83" i="73"/>
  <c r="I84" i="73" s="1"/>
  <c r="K83" i="73"/>
  <c r="K84" i="73" s="1"/>
  <c r="H83" i="73"/>
  <c r="H84" i="73" s="1"/>
  <c r="L83" i="73"/>
  <c r="L84" i="73" s="1"/>
  <c r="K7" i="74"/>
  <c r="K45" i="74"/>
  <c r="H20" i="63"/>
  <c r="H21" i="63" s="1"/>
  <c r="H22" i="63" s="1"/>
  <c r="L22" i="4"/>
  <c r="I76" i="59"/>
  <c r="I79" i="20"/>
  <c r="I65" i="20" s="1"/>
  <c r="M17" i="4"/>
  <c r="D61" i="69"/>
  <c r="M15" i="4"/>
  <c r="L14" i="4"/>
  <c r="G8" i="59"/>
  <c r="M41" i="4"/>
  <c r="I8" i="54"/>
  <c r="G24" i="59"/>
  <c r="H74" i="59"/>
  <c r="H64" i="59" s="1"/>
  <c r="H77" i="20"/>
  <c r="H67" i="20" s="1"/>
  <c r="L62" i="4"/>
  <c r="M61" i="4"/>
  <c r="E132" i="4"/>
  <c r="M37" i="4"/>
  <c r="I111" i="3"/>
  <c r="M44" i="4"/>
  <c r="F46" i="59"/>
  <c r="F17" i="59" s="1"/>
  <c r="H99" i="3"/>
  <c r="N91" i="3" s="1"/>
  <c r="R11" i="3"/>
  <c r="I73" i="4"/>
  <c r="M34" i="4"/>
  <c r="H39" i="4"/>
  <c r="N39" i="4" s="1"/>
  <c r="I74" i="59"/>
  <c r="I12" i="63"/>
  <c r="H11" i="75" s="1"/>
  <c r="U17" i="3"/>
  <c r="U14" i="3"/>
  <c r="I46" i="59"/>
  <c r="I17" i="59" s="1"/>
  <c r="G119" i="4"/>
  <c r="G130" i="4" s="1"/>
  <c r="H33" i="20"/>
  <c r="H37" i="20" s="1"/>
  <c r="H42" i="20" s="1"/>
  <c r="U11" i="3"/>
  <c r="T36" i="3"/>
  <c r="L32" i="4"/>
  <c r="H81" i="63"/>
  <c r="U28" i="3"/>
  <c r="E75" i="59"/>
  <c r="O7" i="4"/>
  <c r="M43" i="4"/>
  <c r="I61" i="3"/>
  <c r="M66" i="4"/>
  <c r="I64" i="63"/>
  <c r="E61" i="3"/>
  <c r="L60" i="4"/>
  <c r="T11" i="3"/>
  <c r="I7" i="59"/>
  <c r="I70" i="59" s="1"/>
  <c r="M31" i="4"/>
  <c r="M14" i="4"/>
  <c r="I12" i="3"/>
  <c r="O36" i="3" s="1"/>
  <c r="I54" i="20"/>
  <c r="F71" i="59"/>
  <c r="F63" i="59" s="1"/>
  <c r="G54" i="20"/>
  <c r="H19" i="3"/>
  <c r="F22" i="54"/>
  <c r="G8" i="20"/>
  <c r="H9" i="20" s="1"/>
  <c r="M67" i="4"/>
  <c r="I40" i="20"/>
  <c r="I113" i="3"/>
  <c r="I37" i="59"/>
  <c r="N17" i="4"/>
  <c r="M21" i="4"/>
  <c r="G105" i="63"/>
  <c r="G106" i="63" s="1"/>
  <c r="F132" i="4"/>
  <c r="G46" i="59"/>
  <c r="G17" i="59" s="1"/>
  <c r="F27" i="72"/>
  <c r="E35" i="72"/>
  <c r="E43" i="72" s="1"/>
  <c r="E51" i="72" s="1"/>
  <c r="E58" i="72" s="1"/>
  <c r="E70" i="72" s="1"/>
  <c r="S30" i="72"/>
  <c r="T30" i="72"/>
  <c r="U30" i="72"/>
  <c r="V30" i="72"/>
  <c r="W30" i="72"/>
  <c r="X30" i="72"/>
  <c r="T28" i="72"/>
  <c r="S31" i="72"/>
  <c r="Y30" i="72"/>
  <c r="AA29" i="72"/>
  <c r="Z30" i="72"/>
  <c r="F31" i="72"/>
  <c r="H88" i="73"/>
  <c r="J21" i="73"/>
  <c r="K21" i="73" s="1"/>
  <c r="L21" i="73" s="1"/>
  <c r="I23" i="73"/>
  <c r="I183" i="73" s="1"/>
  <c r="H53" i="73"/>
  <c r="H90" i="73" s="1"/>
  <c r="H179" i="73"/>
  <c r="L7" i="66"/>
  <c r="F7" i="66"/>
  <c r="C73" i="20"/>
  <c r="D73" i="20"/>
  <c r="U16" i="3"/>
  <c r="H76" i="59"/>
  <c r="H79" i="20"/>
  <c r="J21" i="64"/>
  <c r="O29" i="3"/>
  <c r="I105" i="63"/>
  <c r="I106" i="63" s="1"/>
  <c r="M18" i="4"/>
  <c r="E74" i="59"/>
  <c r="E77" i="20"/>
  <c r="H61" i="3"/>
  <c r="H52" i="3"/>
  <c r="T30" i="3"/>
  <c r="M59" i="4"/>
  <c r="H24" i="59"/>
  <c r="H34" i="59" s="1"/>
  <c r="H39" i="59" s="1"/>
  <c r="H49" i="20"/>
  <c r="G51" i="59"/>
  <c r="H21" i="64"/>
  <c r="M22" i="4"/>
  <c r="F8" i="59"/>
  <c r="G9" i="59" s="1"/>
  <c r="L43" i="4"/>
  <c r="M30" i="4"/>
  <c r="M53" i="4"/>
  <c r="M47" i="4"/>
  <c r="M9" i="4"/>
  <c r="M48" i="4"/>
  <c r="E15" i="4"/>
  <c r="K15" i="4" s="1"/>
  <c r="M32" i="4"/>
  <c r="F98" i="4"/>
  <c r="F129" i="4" s="1"/>
  <c r="F24" i="59"/>
  <c r="S30" i="3"/>
  <c r="T17" i="3"/>
  <c r="K21" i="64"/>
  <c r="I22" i="64"/>
  <c r="I229" i="73"/>
  <c r="J62" i="74" s="1"/>
  <c r="H2" i="67"/>
  <c r="G28" i="67"/>
  <c r="G7" i="67"/>
  <c r="H230" i="73"/>
  <c r="L2" i="74"/>
  <c r="L65" i="4"/>
  <c r="E46" i="59"/>
  <c r="E58" i="59" s="1"/>
  <c r="F51" i="59"/>
  <c r="L66" i="4"/>
  <c r="E49" i="20"/>
  <c r="E17" i="20" s="1"/>
  <c r="F119" i="4"/>
  <c r="F130" i="4" s="1"/>
  <c r="E34" i="59"/>
  <c r="E39" i="59" s="1"/>
  <c r="I3" i="5"/>
  <c r="H3" i="6"/>
  <c r="H3" i="7" s="1"/>
  <c r="M3" i="7" s="1"/>
  <c r="G7" i="4"/>
  <c r="R30" i="3"/>
  <c r="I132" i="4"/>
  <c r="F28" i="20"/>
  <c r="G19" i="3"/>
  <c r="S19" i="3" s="1"/>
  <c r="F28" i="59"/>
  <c r="E28" i="20"/>
  <c r="E33" i="20"/>
  <c r="R73" i="3"/>
  <c r="I33" i="63"/>
  <c r="L13" i="20"/>
  <c r="L15" i="20" s="1"/>
  <c r="E17" i="54"/>
  <c r="I49" i="20"/>
  <c r="G122" i="3"/>
  <c r="G123" i="3" s="1"/>
  <c r="N7" i="4"/>
  <c r="U73" i="3"/>
  <c r="F81" i="63"/>
  <c r="G37" i="20"/>
  <c r="G42" i="20" s="1"/>
  <c r="I22" i="54"/>
  <c r="I26" i="54" s="1"/>
  <c r="G98" i="4"/>
  <c r="G129" i="4" s="1"/>
  <c r="H54" i="20"/>
  <c r="L69" i="63"/>
  <c r="K109" i="63"/>
  <c r="I51" i="59"/>
  <c r="G33" i="54"/>
  <c r="E20" i="63"/>
  <c r="E21" i="63" s="1"/>
  <c r="E22" i="63" s="1"/>
  <c r="E77" i="59"/>
  <c r="E80" i="20"/>
  <c r="M54" i="4"/>
  <c r="M60" i="4"/>
  <c r="M13" i="4"/>
  <c r="R24" i="3"/>
  <c r="F77" i="59"/>
  <c r="S24" i="3"/>
  <c r="F80" i="20"/>
  <c r="D64" i="69"/>
  <c r="H64" i="69" s="1"/>
  <c r="M11" i="4"/>
  <c r="M33" i="4"/>
  <c r="M10" i="4"/>
  <c r="M56" i="4"/>
  <c r="G74" i="20"/>
  <c r="G66" i="20" s="1"/>
  <c r="M35" i="4"/>
  <c r="M62" i="4"/>
  <c r="M38" i="4"/>
  <c r="G71" i="59"/>
  <c r="G63" i="59" s="1"/>
  <c r="M39" i="4"/>
  <c r="M65" i="4"/>
  <c r="I24" i="59"/>
  <c r="I34" i="59" s="1"/>
  <c r="I39" i="59" s="1"/>
  <c r="R31" i="72"/>
  <c r="H46" i="75"/>
  <c r="H48" i="75" s="1"/>
  <c r="J2" i="69"/>
  <c r="J108" i="69" s="1"/>
  <c r="I9" i="75"/>
  <c r="H17" i="75"/>
  <c r="H187" i="73"/>
  <c r="H185" i="73"/>
  <c r="J20" i="73"/>
  <c r="I27" i="69"/>
  <c r="M30" i="72"/>
  <c r="L30" i="72"/>
  <c r="N30" i="72"/>
  <c r="G30" i="72"/>
  <c r="O30" i="72"/>
  <c r="I30" i="72"/>
  <c r="Q30" i="72"/>
  <c r="J30" i="72"/>
  <c r="H30" i="72"/>
  <c r="P30" i="72"/>
  <c r="R30" i="72"/>
  <c r="K30" i="72"/>
  <c r="I68" i="69"/>
  <c r="L2" i="72"/>
  <c r="M2" i="72" s="1"/>
  <c r="N2" i="72" s="1"/>
  <c r="O2" i="72" s="1"/>
  <c r="P2" i="72" s="1"/>
  <c r="Q2" i="72" s="1"/>
  <c r="R2" i="72" s="1"/>
  <c r="S2" i="72" s="1"/>
  <c r="T2" i="72" s="1"/>
  <c r="U2" i="72" s="1"/>
  <c r="V2" i="72" s="1"/>
  <c r="W2" i="72" s="1"/>
  <c r="X2" i="72" s="1"/>
  <c r="Y2" i="72" s="1"/>
  <c r="Z2" i="72" s="1"/>
  <c r="AA2" i="72" s="1"/>
  <c r="AB2" i="72" s="1"/>
  <c r="AC2" i="72" s="1"/>
  <c r="AD2" i="72" s="1"/>
  <c r="AE2" i="72" s="1"/>
  <c r="AF2" i="72" s="1"/>
  <c r="AG2" i="72" s="1"/>
  <c r="AH2" i="72" s="1"/>
  <c r="AI2" i="72" s="1"/>
  <c r="AJ2" i="72" s="1"/>
  <c r="AK2" i="72" s="1"/>
  <c r="AL2" i="72" s="1"/>
  <c r="AM2" i="72" s="1"/>
  <c r="AN2" i="72" s="1"/>
  <c r="AO2" i="72" s="1"/>
  <c r="AP2" i="72" s="1"/>
  <c r="AQ2" i="72" s="1"/>
  <c r="AR2" i="72" s="1"/>
  <c r="L88" i="69"/>
  <c r="L98" i="69" s="1"/>
  <c r="K98" i="69"/>
  <c r="J31" i="69"/>
  <c r="H33" i="69"/>
  <c r="I30" i="69"/>
  <c r="I8" i="75" s="1"/>
  <c r="J23" i="69"/>
  <c r="G64" i="63"/>
  <c r="H105" i="63"/>
  <c r="H106" i="63" s="1"/>
  <c r="G12" i="63"/>
  <c r="J180" i="73"/>
  <c r="H60" i="73"/>
  <c r="H59" i="73"/>
  <c r="H58" i="73"/>
  <c r="I87" i="73"/>
  <c r="J2" i="73"/>
  <c r="J164" i="73" s="1"/>
  <c r="H69" i="74"/>
  <c r="J211" i="73"/>
  <c r="J222" i="73" s="1"/>
  <c r="K27" i="75"/>
  <c r="J27" i="75"/>
  <c r="H31" i="72"/>
  <c r="O31" i="72"/>
  <c r="H75" i="74"/>
  <c r="K47" i="75"/>
  <c r="K48" i="75" s="1"/>
  <c r="G31" i="72"/>
  <c r="N31" i="72"/>
  <c r="J47" i="75"/>
  <c r="J48" i="75" s="1"/>
  <c r="J31" i="72"/>
  <c r="K31" i="72"/>
  <c r="P31" i="72"/>
  <c r="L47" i="75"/>
  <c r="L48" i="75" s="1"/>
  <c r="M31" i="72"/>
  <c r="Q31" i="72"/>
  <c r="I31" i="72"/>
  <c r="L27" i="75"/>
  <c r="L31" i="72"/>
  <c r="H61" i="20"/>
  <c r="H17" i="20"/>
  <c r="H50" i="20"/>
  <c r="G49" i="20"/>
  <c r="E51" i="59"/>
  <c r="E119" i="4"/>
  <c r="E130" i="4" s="1"/>
  <c r="H64" i="63"/>
  <c r="I98" i="4"/>
  <c r="I129" i="4" s="1"/>
  <c r="F37" i="20"/>
  <c r="F42" i="20" s="1"/>
  <c r="E64" i="63"/>
  <c r="G82" i="3"/>
  <c r="M73" i="3" s="1"/>
  <c r="F17" i="54"/>
  <c r="F54" i="20"/>
  <c r="G132" i="4"/>
  <c r="G11" i="54"/>
  <c r="G17" i="54" s="1"/>
  <c r="F64" i="63"/>
  <c r="H119" i="4"/>
  <c r="H130" i="4" s="1"/>
  <c r="I17" i="54"/>
  <c r="E54" i="20"/>
  <c r="G22" i="54"/>
  <c r="H58" i="59"/>
  <c r="H47" i="59"/>
  <c r="H17" i="59"/>
  <c r="E99" i="3"/>
  <c r="K90" i="3" s="1"/>
  <c r="E82" i="3"/>
  <c r="K81" i="3" s="1"/>
  <c r="F20" i="63"/>
  <c r="F21" i="63" s="1"/>
  <c r="F22" i="63" s="1"/>
  <c r="U81" i="3"/>
  <c r="I82" i="3"/>
  <c r="H23" i="20"/>
  <c r="H73" i="20"/>
  <c r="F82" i="3"/>
  <c r="L81" i="3" s="1"/>
  <c r="R81" i="3"/>
  <c r="O22" i="4"/>
  <c r="O32" i="4"/>
  <c r="O43" i="4"/>
  <c r="L45" i="4"/>
  <c r="L34" i="4"/>
  <c r="H132" i="4"/>
  <c r="H11" i="54"/>
  <c r="H17" i="54" s="1"/>
  <c r="G99" i="3"/>
  <c r="L71" i="63"/>
  <c r="I73" i="20"/>
  <c r="G81" i="63"/>
  <c r="G28" i="59"/>
  <c r="I99" i="3"/>
  <c r="O97" i="3" s="1"/>
  <c r="S81" i="3"/>
  <c r="E33" i="63"/>
  <c r="F33" i="63"/>
  <c r="G23" i="4"/>
  <c r="M23" i="4" s="1"/>
  <c r="O11" i="59"/>
  <c r="O12" i="59" s="1"/>
  <c r="L31" i="4"/>
  <c r="L33" i="4"/>
  <c r="L9" i="4"/>
  <c r="L35" i="4"/>
  <c r="L37" i="4"/>
  <c r="L56" i="4"/>
  <c r="L17" i="4"/>
  <c r="L59" i="4"/>
  <c r="L47" i="4"/>
  <c r="L48" i="4"/>
  <c r="L11" i="4"/>
  <c r="L10" i="4"/>
  <c r="L23" i="4"/>
  <c r="L30" i="4"/>
  <c r="L13" i="4"/>
  <c r="F8" i="20"/>
  <c r="L44" i="4"/>
  <c r="E81" i="63"/>
  <c r="L28" i="4"/>
  <c r="E134" i="4"/>
  <c r="E98" i="4"/>
  <c r="E129" i="4" s="1"/>
  <c r="L61" i="4"/>
  <c r="L54" i="4"/>
  <c r="L38" i="4"/>
  <c r="H82" i="3"/>
  <c r="T81" i="3"/>
  <c r="F99" i="3"/>
  <c r="L97" i="3" s="1"/>
  <c r="T73" i="3"/>
  <c r="H122" i="3"/>
  <c r="I122" i="3"/>
  <c r="H98" i="4"/>
  <c r="H129" i="4" s="1"/>
  <c r="H134" i="4"/>
  <c r="H12" i="3"/>
  <c r="N39" i="3" s="1"/>
  <c r="T10" i="3"/>
  <c r="U10" i="3"/>
  <c r="U18" i="3"/>
  <c r="I51" i="3"/>
  <c r="D41" i="69"/>
  <c r="H41" i="69" s="1"/>
  <c r="K21" i="4"/>
  <c r="E23" i="4"/>
  <c r="S18" i="3"/>
  <c r="T18" i="3"/>
  <c r="G51" i="3"/>
  <c r="U24" i="3"/>
  <c r="I32" i="3"/>
  <c r="I77" i="59"/>
  <c r="I64" i="59" s="1"/>
  <c r="I80" i="20"/>
  <c r="I67" i="20" s="1"/>
  <c r="G32" i="3"/>
  <c r="S25" i="3"/>
  <c r="I24" i="4"/>
  <c r="F19" i="4"/>
  <c r="L19" i="4" s="1"/>
  <c r="L18" i="4"/>
  <c r="R40" i="3"/>
  <c r="E12" i="3"/>
  <c r="K18" i="3" s="1"/>
  <c r="R10" i="3"/>
  <c r="U26" i="3"/>
  <c r="T29" i="3"/>
  <c r="S29" i="3"/>
  <c r="G58" i="3"/>
  <c r="R18" i="3"/>
  <c r="E51" i="3"/>
  <c r="G33" i="63"/>
  <c r="G47" i="59"/>
  <c r="H9" i="59"/>
  <c r="G12" i="3"/>
  <c r="M10" i="3" s="1"/>
  <c r="S10" i="3"/>
  <c r="S11" i="3"/>
  <c r="I19" i="3"/>
  <c r="T25" i="3"/>
  <c r="E76" i="59"/>
  <c r="E79" i="20"/>
  <c r="R16" i="3"/>
  <c r="E19" i="3"/>
  <c r="R19" i="3" s="1"/>
  <c r="M40" i="4"/>
  <c r="G50" i="4"/>
  <c r="M50" i="4" s="1"/>
  <c r="R37" i="3"/>
  <c r="F37" i="59"/>
  <c r="F113" i="3"/>
  <c r="F40" i="20"/>
  <c r="F122" i="3"/>
  <c r="F61" i="3"/>
  <c r="S17" i="3"/>
  <c r="F52" i="3"/>
  <c r="R17" i="3"/>
  <c r="E60" i="3"/>
  <c r="S15" i="3"/>
  <c r="T15" i="3"/>
  <c r="G78" i="20"/>
  <c r="G75" i="59"/>
  <c r="R27" i="3"/>
  <c r="S27" i="3"/>
  <c r="U39" i="3"/>
  <c r="T39" i="3"/>
  <c r="S28" i="3"/>
  <c r="F96" i="63"/>
  <c r="F105" i="63"/>
  <c r="F106" i="63" s="1"/>
  <c r="G20" i="63"/>
  <c r="R31" i="3"/>
  <c r="F60" i="3"/>
  <c r="S31" i="3"/>
  <c r="E61" i="4"/>
  <c r="K61" i="4" s="1"/>
  <c r="K60" i="4"/>
  <c r="E50" i="4"/>
  <c r="K50" i="4" s="1"/>
  <c r="E76" i="20"/>
  <c r="E73" i="59"/>
  <c r="K41" i="4"/>
  <c r="R26" i="3"/>
  <c r="U36" i="3"/>
  <c r="U27" i="3"/>
  <c r="S36" i="3"/>
  <c r="R39" i="3"/>
  <c r="E58" i="3"/>
  <c r="F55" i="4"/>
  <c r="L55" i="4" s="1"/>
  <c r="L53" i="4"/>
  <c r="L15" i="4"/>
  <c r="R25" i="3"/>
  <c r="F32" i="3"/>
  <c r="T31" i="3"/>
  <c r="H60" i="3"/>
  <c r="H32" i="3"/>
  <c r="F75" i="59"/>
  <c r="F78" i="20"/>
  <c r="R15" i="3"/>
  <c r="E32" i="3"/>
  <c r="U31" i="3"/>
  <c r="H24" i="4"/>
  <c r="N15" i="4"/>
  <c r="R36" i="3"/>
  <c r="I63" i="79" l="1"/>
  <c r="J13" i="74" s="1"/>
  <c r="J8" i="74" s="1"/>
  <c r="M12" i="74"/>
  <c r="L63" i="79"/>
  <c r="M13" i="74" s="1"/>
  <c r="K12" i="74"/>
  <c r="J63" i="79"/>
  <c r="K13" i="74" s="1"/>
  <c r="L12" i="74"/>
  <c r="K63" i="79"/>
  <c r="L13" i="74" s="1"/>
  <c r="I12" i="74"/>
  <c r="H63" i="79"/>
  <c r="I182" i="73"/>
  <c r="H62" i="59"/>
  <c r="I42" i="59"/>
  <c r="O62" i="4"/>
  <c r="G36" i="59"/>
  <c r="O40" i="4"/>
  <c r="F34" i="59"/>
  <c r="F39" i="59" s="1"/>
  <c r="O65" i="4"/>
  <c r="H42" i="59"/>
  <c r="H23" i="59"/>
  <c r="H65" i="20"/>
  <c r="O34" i="4"/>
  <c r="L36" i="3"/>
  <c r="I21" i="63"/>
  <c r="I22" i="63" s="1"/>
  <c r="F61" i="20"/>
  <c r="I23" i="20"/>
  <c r="T19" i="3"/>
  <c r="J182" i="73"/>
  <c r="K11" i="74"/>
  <c r="K182" i="73"/>
  <c r="L11" i="74"/>
  <c r="L182" i="73"/>
  <c r="M11" i="74"/>
  <c r="H182" i="73"/>
  <c r="I11" i="74"/>
  <c r="K58" i="79"/>
  <c r="I58" i="79"/>
  <c r="H58" i="79"/>
  <c r="J58" i="79"/>
  <c r="L58" i="79"/>
  <c r="K59" i="69"/>
  <c r="J8" i="75"/>
  <c r="J59" i="69"/>
  <c r="L27" i="3"/>
  <c r="L30" i="3"/>
  <c r="O17" i="4"/>
  <c r="O61" i="4"/>
  <c r="L15" i="3"/>
  <c r="O19" i="4"/>
  <c r="O11" i="4"/>
  <c r="O48" i="4"/>
  <c r="O37" i="4"/>
  <c r="H50" i="4"/>
  <c r="N50" i="4" s="1"/>
  <c r="O53" i="4"/>
  <c r="E47" i="59"/>
  <c r="O30" i="4"/>
  <c r="L31" i="3"/>
  <c r="O35" i="4"/>
  <c r="O13" i="4"/>
  <c r="L37" i="3"/>
  <c r="E17" i="59"/>
  <c r="I8" i="20"/>
  <c r="I50" i="20" s="1"/>
  <c r="O66" i="4"/>
  <c r="O41" i="4"/>
  <c r="E57" i="59"/>
  <c r="E59" i="59" s="1"/>
  <c r="L18" i="3"/>
  <c r="O31" i="4"/>
  <c r="L40" i="3"/>
  <c r="O49" i="4"/>
  <c r="E67" i="20"/>
  <c r="L39" i="3"/>
  <c r="I8" i="59"/>
  <c r="I9" i="59" s="1"/>
  <c r="O39" i="4"/>
  <c r="O15" i="4"/>
  <c r="O10" i="4"/>
  <c r="O28" i="4"/>
  <c r="O55" i="4"/>
  <c r="O18" i="4"/>
  <c r="H66" i="20"/>
  <c r="D109" i="69" s="1"/>
  <c r="H109" i="69" s="1"/>
  <c r="F20" i="3"/>
  <c r="L20" i="3" s="1"/>
  <c r="L25" i="3"/>
  <c r="L29" i="3"/>
  <c r="L17" i="3"/>
  <c r="O21" i="4"/>
  <c r="O17" i="3"/>
  <c r="G21" i="63"/>
  <c r="G22" i="63" s="1"/>
  <c r="O47" i="4"/>
  <c r="O59" i="4"/>
  <c r="N89" i="3"/>
  <c r="L11" i="3"/>
  <c r="O44" i="4"/>
  <c r="O60" i="4"/>
  <c r="I74" i="20"/>
  <c r="I66" i="20" s="1"/>
  <c r="I68" i="20" s="1"/>
  <c r="L28" i="3"/>
  <c r="E65" i="20"/>
  <c r="O23" i="4"/>
  <c r="O33" i="4"/>
  <c r="O54" i="4"/>
  <c r="O50" i="4"/>
  <c r="O9" i="4"/>
  <c r="L19" i="3"/>
  <c r="F9" i="59"/>
  <c r="O14" i="4"/>
  <c r="O67" i="4"/>
  <c r="O56" i="4"/>
  <c r="K29" i="3"/>
  <c r="O38" i="4"/>
  <c r="I71" i="59"/>
  <c r="I63" i="59" s="1"/>
  <c r="P15" i="59"/>
  <c r="L13" i="59" s="1"/>
  <c r="N98" i="3"/>
  <c r="N96" i="3"/>
  <c r="N88" i="3"/>
  <c r="O31" i="3"/>
  <c r="F58" i="59"/>
  <c r="N93" i="3"/>
  <c r="F50" i="4"/>
  <c r="L50" i="4" s="1"/>
  <c r="N92" i="3"/>
  <c r="I62" i="59"/>
  <c r="N94" i="3"/>
  <c r="N85" i="3"/>
  <c r="F47" i="59"/>
  <c r="H68" i="20"/>
  <c r="F26" i="54"/>
  <c r="F37" i="54" s="1"/>
  <c r="E63" i="59"/>
  <c r="O18" i="3"/>
  <c r="E66" i="20"/>
  <c r="O14" i="3"/>
  <c r="N99" i="3"/>
  <c r="F57" i="59"/>
  <c r="L42" i="3"/>
  <c r="L14" i="3"/>
  <c r="L26" i="3"/>
  <c r="L16" i="3"/>
  <c r="L10" i="3"/>
  <c r="N86" i="3"/>
  <c r="N87" i="3"/>
  <c r="G9" i="20"/>
  <c r="G60" i="20"/>
  <c r="N90" i="3"/>
  <c r="N97" i="3"/>
  <c r="N95" i="3"/>
  <c r="I61" i="20"/>
  <c r="F60" i="20"/>
  <c r="F62" i="20" s="1"/>
  <c r="K40" i="69"/>
  <c r="J39" i="69"/>
  <c r="K39" i="69"/>
  <c r="J52" i="69"/>
  <c r="J54" i="69" s="1"/>
  <c r="J17" i="75" s="1"/>
  <c r="K52" i="69"/>
  <c r="K54" i="69" s="1"/>
  <c r="K17" i="75" s="1"/>
  <c r="L186" i="73"/>
  <c r="H186" i="73"/>
  <c r="L40" i="69"/>
  <c r="L8" i="75"/>
  <c r="L39" i="69"/>
  <c r="L52" i="69"/>
  <c r="L54" i="69" s="1"/>
  <c r="L17" i="75" s="1"/>
  <c r="K64" i="72"/>
  <c r="K68" i="72" s="1"/>
  <c r="K72" i="72" s="1"/>
  <c r="M40" i="63"/>
  <c r="K32" i="67"/>
  <c r="H64" i="72"/>
  <c r="H68" i="72" s="1"/>
  <c r="H72" i="72" s="1"/>
  <c r="L35" i="67"/>
  <c r="J64" i="72"/>
  <c r="J68" i="72" s="1"/>
  <c r="J72" i="72" s="1"/>
  <c r="N40" i="63"/>
  <c r="L32" i="67"/>
  <c r="I64" i="72"/>
  <c r="I68" i="72" s="1"/>
  <c r="I72" i="72" s="1"/>
  <c r="L40" i="63"/>
  <c r="J32" i="67"/>
  <c r="G64" i="72"/>
  <c r="G68" i="72" s="1"/>
  <c r="G72" i="72" s="1"/>
  <c r="K35" i="67"/>
  <c r="L64" i="72"/>
  <c r="L68" i="72" s="1"/>
  <c r="L72" i="72" s="1"/>
  <c r="M2" i="74"/>
  <c r="L45" i="74"/>
  <c r="J75" i="74"/>
  <c r="O39" i="3"/>
  <c r="O28" i="3"/>
  <c r="H71" i="74"/>
  <c r="K75" i="74"/>
  <c r="E37" i="54"/>
  <c r="K16" i="3"/>
  <c r="O26" i="3"/>
  <c r="G57" i="59"/>
  <c r="O24" i="3"/>
  <c r="O40" i="3"/>
  <c r="M29" i="3"/>
  <c r="I17" i="20"/>
  <c r="K10" i="3"/>
  <c r="I60" i="20"/>
  <c r="I62" i="20" s="1"/>
  <c r="I57" i="59"/>
  <c r="I59" i="59" s="1"/>
  <c r="G50" i="20"/>
  <c r="F67" i="20"/>
  <c r="I58" i="59"/>
  <c r="M75" i="74"/>
  <c r="O25" i="3"/>
  <c r="O37" i="3"/>
  <c r="O27" i="3"/>
  <c r="O10" i="3"/>
  <c r="O30" i="3"/>
  <c r="O15" i="3"/>
  <c r="O11" i="3"/>
  <c r="L75" i="74"/>
  <c r="O16" i="3"/>
  <c r="O42" i="3"/>
  <c r="I23" i="59"/>
  <c r="G34" i="59"/>
  <c r="G39" i="59" s="1"/>
  <c r="I37" i="54"/>
  <c r="G39" i="20"/>
  <c r="H60" i="20"/>
  <c r="H62" i="20" s="1"/>
  <c r="G27" i="72"/>
  <c r="F35" i="72"/>
  <c r="F43" i="72" s="1"/>
  <c r="F51" i="72" s="1"/>
  <c r="F58" i="72" s="1"/>
  <c r="F70" i="72" s="1"/>
  <c r="K7" i="63"/>
  <c r="K93" i="63"/>
  <c r="L63" i="74"/>
  <c r="K63" i="74"/>
  <c r="J63" i="74"/>
  <c r="I63" i="74"/>
  <c r="M63" i="74"/>
  <c r="AB29" i="72"/>
  <c r="AA30" i="72"/>
  <c r="T31" i="72"/>
  <c r="U28" i="72"/>
  <c r="S32" i="72"/>
  <c r="C32" i="72"/>
  <c r="I98" i="73"/>
  <c r="H91" i="73"/>
  <c r="J23" i="73"/>
  <c r="J183" i="73" s="1"/>
  <c r="I73" i="73"/>
  <c r="I89" i="73" s="1"/>
  <c r="I53" i="73"/>
  <c r="I90" i="73" s="1"/>
  <c r="E50" i="20"/>
  <c r="K24" i="75"/>
  <c r="K35" i="75" s="1"/>
  <c r="K103" i="69"/>
  <c r="E37" i="20"/>
  <c r="E42" i="20" s="1"/>
  <c r="H65" i="59"/>
  <c r="E62" i="59"/>
  <c r="M77" i="3"/>
  <c r="L24" i="75"/>
  <c r="L35" i="75" s="1"/>
  <c r="L103" i="69"/>
  <c r="E64" i="59"/>
  <c r="J18" i="64"/>
  <c r="J22" i="64" s="1"/>
  <c r="M7" i="66"/>
  <c r="G7" i="66"/>
  <c r="N7" i="66" s="1"/>
  <c r="K26" i="3"/>
  <c r="E60" i="20"/>
  <c r="E62" i="20" s="1"/>
  <c r="E61" i="20"/>
  <c r="K18" i="64"/>
  <c r="K22" i="64" s="1"/>
  <c r="H18" i="64"/>
  <c r="H19" i="64" s="1"/>
  <c r="I17" i="64" s="1"/>
  <c r="I19" i="64" s="1"/>
  <c r="J17" i="64" s="1"/>
  <c r="J229" i="73"/>
  <c r="K2" i="73"/>
  <c r="I226" i="73"/>
  <c r="I230" i="73" s="1"/>
  <c r="H100" i="69"/>
  <c r="H28" i="67"/>
  <c r="H7" i="67"/>
  <c r="I2" i="67"/>
  <c r="L7" i="74"/>
  <c r="H59" i="59"/>
  <c r="M15" i="3"/>
  <c r="P14" i="59"/>
  <c r="L12" i="59" s="1"/>
  <c r="M7" i="4"/>
  <c r="G111" i="3"/>
  <c r="G8" i="3"/>
  <c r="G48" i="3" s="1"/>
  <c r="G7" i="59"/>
  <c r="G73" i="4"/>
  <c r="G8" i="54"/>
  <c r="G7" i="20"/>
  <c r="J3" i="5"/>
  <c r="I3" i="6"/>
  <c r="I3" i="7" s="1"/>
  <c r="N3" i="7" s="1"/>
  <c r="F7" i="4"/>
  <c r="M69" i="63"/>
  <c r="L109" i="63"/>
  <c r="K97" i="3"/>
  <c r="H37" i="54"/>
  <c r="F34" i="63"/>
  <c r="F39" i="63" s="1"/>
  <c r="F42" i="63" s="1"/>
  <c r="F44" i="63" s="1"/>
  <c r="F86" i="63" s="1"/>
  <c r="F87" i="63" s="1"/>
  <c r="F24" i="4"/>
  <c r="F25" i="4" s="1"/>
  <c r="I64" i="69"/>
  <c r="H23" i="75"/>
  <c r="J27" i="69"/>
  <c r="H77" i="74"/>
  <c r="I10" i="75"/>
  <c r="I11" i="75" s="1"/>
  <c r="R32" i="72"/>
  <c r="K2" i="69"/>
  <c r="K108" i="69" s="1"/>
  <c r="J68" i="69"/>
  <c r="J9" i="75"/>
  <c r="K20" i="73"/>
  <c r="I187" i="73"/>
  <c r="I185" i="73"/>
  <c r="H116" i="69"/>
  <c r="H117" i="69"/>
  <c r="I52" i="69"/>
  <c r="I54" i="69" s="1"/>
  <c r="H60" i="69"/>
  <c r="H63" i="69" s="1"/>
  <c r="H115" i="69"/>
  <c r="H111" i="69"/>
  <c r="H43" i="69"/>
  <c r="H12" i="75" s="1"/>
  <c r="H14" i="75" s="1"/>
  <c r="I40" i="69"/>
  <c r="I59" i="69"/>
  <c r="K31" i="69"/>
  <c r="I33" i="69"/>
  <c r="I39" i="69"/>
  <c r="L21" i="69"/>
  <c r="L23" i="69" s="1"/>
  <c r="K23" i="69"/>
  <c r="J33" i="69"/>
  <c r="K180" i="73"/>
  <c r="I58" i="73"/>
  <c r="I59" i="73"/>
  <c r="I60" i="73"/>
  <c r="J87" i="73"/>
  <c r="I125" i="73"/>
  <c r="I134" i="73"/>
  <c r="I179" i="73"/>
  <c r="I113" i="73"/>
  <c r="I122" i="73"/>
  <c r="I44" i="73"/>
  <c r="I110" i="73"/>
  <c r="E32" i="72"/>
  <c r="G32" i="72"/>
  <c r="N32" i="72"/>
  <c r="H32" i="72"/>
  <c r="I32" i="72"/>
  <c r="P32" i="72"/>
  <c r="D32" i="72"/>
  <c r="K211" i="73"/>
  <c r="K222" i="73" s="1"/>
  <c r="Q32" i="72"/>
  <c r="J32" i="72"/>
  <c r="L32" i="72"/>
  <c r="O32" i="72"/>
  <c r="K32" i="72"/>
  <c r="M32" i="72"/>
  <c r="F32" i="72"/>
  <c r="G17" i="20"/>
  <c r="G61" i="20"/>
  <c r="M76" i="3"/>
  <c r="M81" i="3"/>
  <c r="M80" i="3"/>
  <c r="M78" i="3"/>
  <c r="S82" i="3"/>
  <c r="M72" i="3"/>
  <c r="G18" i="59"/>
  <c r="M82" i="3"/>
  <c r="M70" i="3"/>
  <c r="M71" i="3"/>
  <c r="G18" i="20"/>
  <c r="M79" i="3"/>
  <c r="G26" i="54"/>
  <c r="G37" i="54" s="1"/>
  <c r="G58" i="59"/>
  <c r="M18" i="3"/>
  <c r="E34" i="63"/>
  <c r="M71" i="63"/>
  <c r="M88" i="3"/>
  <c r="M96" i="3"/>
  <c r="M98" i="3"/>
  <c r="M87" i="3"/>
  <c r="M89" i="3"/>
  <c r="M91" i="3"/>
  <c r="M93" i="3"/>
  <c r="M95" i="3"/>
  <c r="M99" i="3"/>
  <c r="M92" i="3"/>
  <c r="M94" i="3"/>
  <c r="M85" i="3"/>
  <c r="M86" i="3"/>
  <c r="M90" i="3"/>
  <c r="L78" i="3"/>
  <c r="L80" i="3"/>
  <c r="L82" i="3"/>
  <c r="R82" i="3"/>
  <c r="L79" i="3"/>
  <c r="F18" i="59"/>
  <c r="F18" i="20"/>
  <c r="L72" i="3"/>
  <c r="L77" i="3"/>
  <c r="L76" i="3"/>
  <c r="L73" i="3"/>
  <c r="L71" i="3"/>
  <c r="L70" i="3"/>
  <c r="O71" i="3"/>
  <c r="O76" i="3"/>
  <c r="O80" i="3"/>
  <c r="O82" i="3"/>
  <c r="O72" i="3"/>
  <c r="O70" i="3"/>
  <c r="U82" i="3"/>
  <c r="I18" i="20"/>
  <c r="I18" i="59"/>
  <c r="O79" i="3"/>
  <c r="O78" i="3"/>
  <c r="O77" i="3"/>
  <c r="O73" i="3"/>
  <c r="M97" i="3"/>
  <c r="F65" i="20"/>
  <c r="I36" i="59"/>
  <c r="I39" i="20"/>
  <c r="I123" i="3"/>
  <c r="L88" i="3"/>
  <c r="L92" i="3"/>
  <c r="L94" i="3"/>
  <c r="L96" i="3"/>
  <c r="L98" i="3"/>
  <c r="L89" i="3"/>
  <c r="L91" i="3"/>
  <c r="L99" i="3"/>
  <c r="L85" i="3"/>
  <c r="L86" i="3"/>
  <c r="L93" i="3"/>
  <c r="L87" i="3"/>
  <c r="L95" i="3"/>
  <c r="L90" i="3"/>
  <c r="F50" i="20"/>
  <c r="F9" i="20"/>
  <c r="H61" i="69"/>
  <c r="G24" i="4"/>
  <c r="G25" i="4" s="1"/>
  <c r="H36" i="59"/>
  <c r="H123" i="3"/>
  <c r="H39" i="20"/>
  <c r="O85" i="3"/>
  <c r="O96" i="3"/>
  <c r="O95" i="3"/>
  <c r="O99" i="3"/>
  <c r="O87" i="3"/>
  <c r="O89" i="3"/>
  <c r="O93" i="3"/>
  <c r="O91" i="3"/>
  <c r="O90" i="3"/>
  <c r="O88" i="3"/>
  <c r="O92" i="3"/>
  <c r="O98" i="3"/>
  <c r="O86" i="3"/>
  <c r="O94" i="3"/>
  <c r="O81" i="3"/>
  <c r="K80" i="3"/>
  <c r="K82" i="3"/>
  <c r="K78" i="3"/>
  <c r="E18" i="20"/>
  <c r="K79" i="3"/>
  <c r="E18" i="59"/>
  <c r="K70" i="3"/>
  <c r="K72" i="3"/>
  <c r="K77" i="3"/>
  <c r="K73" i="3"/>
  <c r="K76" i="3"/>
  <c r="K71" i="3"/>
  <c r="N77" i="3"/>
  <c r="N79" i="3"/>
  <c r="N78" i="3"/>
  <c r="N82" i="3"/>
  <c r="T82" i="3"/>
  <c r="H18" i="20"/>
  <c r="H18" i="59"/>
  <c r="N71" i="3"/>
  <c r="N70" i="3"/>
  <c r="N80" i="3"/>
  <c r="N72" i="3"/>
  <c r="N76" i="3"/>
  <c r="N73" i="3"/>
  <c r="N81" i="3"/>
  <c r="K87" i="3"/>
  <c r="K88" i="3"/>
  <c r="K89" i="3"/>
  <c r="K98" i="3"/>
  <c r="K91" i="3"/>
  <c r="K99" i="3"/>
  <c r="K92" i="3"/>
  <c r="K93" i="3"/>
  <c r="K94" i="3"/>
  <c r="K85" i="3"/>
  <c r="K95" i="3"/>
  <c r="K86" i="3"/>
  <c r="K96" i="3"/>
  <c r="N31" i="3"/>
  <c r="G62" i="59"/>
  <c r="G64" i="59"/>
  <c r="E20" i="3"/>
  <c r="K15" i="3"/>
  <c r="K24" i="3"/>
  <c r="K14" i="3"/>
  <c r="K11" i="3"/>
  <c r="K30" i="3"/>
  <c r="K27" i="3"/>
  <c r="K42" i="3"/>
  <c r="K17" i="3"/>
  <c r="K37" i="3"/>
  <c r="K28" i="3"/>
  <c r="R12" i="3"/>
  <c r="K40" i="3"/>
  <c r="K25" i="3"/>
  <c r="K36" i="3"/>
  <c r="N10" i="3"/>
  <c r="U19" i="3"/>
  <c r="O19" i="3"/>
  <c r="I20" i="3"/>
  <c r="I33" i="3" s="1"/>
  <c r="H20" i="3"/>
  <c r="H33" i="3" s="1"/>
  <c r="T12" i="3"/>
  <c r="N30" i="3"/>
  <c r="N15" i="3"/>
  <c r="N17" i="3"/>
  <c r="N11" i="3"/>
  <c r="N27" i="3"/>
  <c r="N29" i="3"/>
  <c r="N42" i="3"/>
  <c r="N25" i="3"/>
  <c r="N19" i="3"/>
  <c r="N37" i="3"/>
  <c r="N24" i="3"/>
  <c r="N16" i="3"/>
  <c r="N26" i="3"/>
  <c r="U12" i="3"/>
  <c r="N14" i="3"/>
  <c r="N18" i="3"/>
  <c r="N28" i="3"/>
  <c r="N36" i="3"/>
  <c r="N40" i="3"/>
  <c r="R32" i="3"/>
  <c r="L32" i="3"/>
  <c r="M11" i="3"/>
  <c r="U32" i="3"/>
  <c r="O32" i="3"/>
  <c r="G65" i="20"/>
  <c r="G67" i="20"/>
  <c r="D114" i="69" s="1"/>
  <c r="F64" i="59"/>
  <c r="F62" i="59"/>
  <c r="M25" i="3"/>
  <c r="N24" i="4"/>
  <c r="H25" i="4"/>
  <c r="K39" i="3"/>
  <c r="M28" i="3"/>
  <c r="K31" i="3"/>
  <c r="F39" i="20"/>
  <c r="F123" i="3"/>
  <c r="F36" i="59"/>
  <c r="K19" i="3"/>
  <c r="S32" i="3"/>
  <c r="M32" i="3"/>
  <c r="K23" i="4"/>
  <c r="E24" i="4"/>
  <c r="I25" i="4"/>
  <c r="O24" i="4"/>
  <c r="N32" i="3"/>
  <c r="T32" i="3"/>
  <c r="M36" i="3"/>
  <c r="M24" i="4"/>
  <c r="H34" i="63"/>
  <c r="K32" i="3"/>
  <c r="G20" i="3"/>
  <c r="G33" i="3" s="1"/>
  <c r="S12" i="3"/>
  <c r="M37" i="3"/>
  <c r="M26" i="3"/>
  <c r="M42" i="3"/>
  <c r="M30" i="3"/>
  <c r="M14" i="3"/>
  <c r="M17" i="3"/>
  <c r="M24" i="3"/>
  <c r="M39" i="3"/>
  <c r="M31" i="3"/>
  <c r="M16" i="3"/>
  <c r="M40" i="3"/>
  <c r="M27" i="3"/>
  <c r="I41" i="69"/>
  <c r="M19" i="3"/>
  <c r="K66" i="79" l="1"/>
  <c r="L14" i="74" s="1"/>
  <c r="L8" i="74"/>
  <c r="K8" i="74"/>
  <c r="M8" i="74"/>
  <c r="I13" i="74"/>
  <c r="I8" i="74" s="1"/>
  <c r="I34" i="63"/>
  <c r="I9" i="20"/>
  <c r="G34" i="63"/>
  <c r="I65" i="59"/>
  <c r="I155" i="73"/>
  <c r="F68" i="20"/>
  <c r="F59" i="59"/>
  <c r="M11" i="63"/>
  <c r="L66" i="79"/>
  <c r="M14" i="74" s="1"/>
  <c r="N11" i="63"/>
  <c r="J66" i="79"/>
  <c r="K14" i="74" s="1"/>
  <c r="L11" i="63"/>
  <c r="H66" i="79"/>
  <c r="I14" i="74" s="1"/>
  <c r="J11" i="63"/>
  <c r="I66" i="79"/>
  <c r="J14" i="74" s="1"/>
  <c r="J15" i="74" s="1"/>
  <c r="N25" i="74" s="1"/>
  <c r="K11" i="63"/>
  <c r="M10" i="63"/>
  <c r="J10" i="75"/>
  <c r="J11" i="75" s="1"/>
  <c r="L24" i="4"/>
  <c r="F49" i="3"/>
  <c r="F50" i="3" s="1"/>
  <c r="F33" i="3"/>
  <c r="F34" i="3" s="1"/>
  <c r="F21" i="3"/>
  <c r="I47" i="59"/>
  <c r="L15" i="59"/>
  <c r="R20" i="3"/>
  <c r="E68" i="20"/>
  <c r="E65" i="59"/>
  <c r="T32" i="72"/>
  <c r="I88" i="73"/>
  <c r="I43" i="73"/>
  <c r="K186" i="73"/>
  <c r="J186" i="73"/>
  <c r="I186" i="73"/>
  <c r="M7" i="63"/>
  <c r="K164" i="73"/>
  <c r="M7" i="74"/>
  <c r="M45" i="74"/>
  <c r="G38" i="67"/>
  <c r="H27" i="72"/>
  <c r="G35" i="72"/>
  <c r="G43" i="72" s="1"/>
  <c r="G51" i="72" s="1"/>
  <c r="G58" i="72" s="1"/>
  <c r="G70" i="72" s="1"/>
  <c r="L7" i="63"/>
  <c r="L93" i="63"/>
  <c r="U31" i="72"/>
  <c r="V28" i="72"/>
  <c r="AC29" i="72"/>
  <c r="AB30" i="72"/>
  <c r="I157" i="73"/>
  <c r="I160" i="73" s="1"/>
  <c r="H93" i="73"/>
  <c r="H101" i="73"/>
  <c r="J98" i="73"/>
  <c r="J73" i="73"/>
  <c r="J89" i="73" s="1"/>
  <c r="K23" i="73"/>
  <c r="K183" i="73" s="1"/>
  <c r="J53" i="73"/>
  <c r="J90" i="73" s="1"/>
  <c r="L2" i="73"/>
  <c r="K87" i="73"/>
  <c r="J19" i="64"/>
  <c r="K17" i="64" s="1"/>
  <c r="K19" i="64" s="1"/>
  <c r="H22" i="64"/>
  <c r="K229" i="73"/>
  <c r="L62" i="74" s="1"/>
  <c r="J226" i="73"/>
  <c r="J230" i="73" s="1"/>
  <c r="I7" i="67"/>
  <c r="J2" i="67"/>
  <c r="I28" i="67"/>
  <c r="F111" i="3"/>
  <c r="F7" i="59"/>
  <c r="F8" i="54"/>
  <c r="F73" i="4"/>
  <c r="L7" i="4"/>
  <c r="F8" i="3"/>
  <c r="F48" i="3" s="1"/>
  <c r="F7" i="20"/>
  <c r="J3" i="6"/>
  <c r="J3" i="7" s="1"/>
  <c r="O3" i="7" s="1"/>
  <c r="E7" i="4"/>
  <c r="F35" i="63"/>
  <c r="G45" i="20"/>
  <c r="G73" i="20"/>
  <c r="G23" i="20"/>
  <c r="G70" i="59"/>
  <c r="G42" i="59"/>
  <c r="G23" i="59"/>
  <c r="F46" i="63"/>
  <c r="N69" i="63"/>
  <c r="M109" i="63"/>
  <c r="F95" i="63"/>
  <c r="F103" i="63" s="1"/>
  <c r="E33" i="3"/>
  <c r="E56" i="3" s="1"/>
  <c r="J64" i="69"/>
  <c r="I23" i="75"/>
  <c r="I36" i="75" s="1"/>
  <c r="H36" i="75"/>
  <c r="I27" i="75"/>
  <c r="K68" i="69"/>
  <c r="K27" i="69"/>
  <c r="H19" i="75"/>
  <c r="K62" i="74"/>
  <c r="L2" i="69"/>
  <c r="L108" i="69" s="1"/>
  <c r="I117" i="69"/>
  <c r="I116" i="69"/>
  <c r="J117" i="69"/>
  <c r="J116" i="69"/>
  <c r="I17" i="75"/>
  <c r="H114" i="69"/>
  <c r="K9" i="75"/>
  <c r="K10" i="75" s="1"/>
  <c r="J187" i="73"/>
  <c r="J185" i="73"/>
  <c r="L20" i="73"/>
  <c r="I115" i="69"/>
  <c r="I111" i="69"/>
  <c r="I109" i="69"/>
  <c r="J115" i="69"/>
  <c r="J109" i="69"/>
  <c r="J111" i="69"/>
  <c r="L31" i="69"/>
  <c r="L9" i="75" s="1"/>
  <c r="L10" i="75" s="1"/>
  <c r="M10" i="75" s="1"/>
  <c r="I60" i="69"/>
  <c r="J60" i="69"/>
  <c r="K33" i="69"/>
  <c r="H18" i="75"/>
  <c r="L180" i="73"/>
  <c r="J58" i="73"/>
  <c r="J59" i="73"/>
  <c r="J60" i="73"/>
  <c r="J134" i="73"/>
  <c r="J122" i="73"/>
  <c r="J110" i="73"/>
  <c r="J44" i="73"/>
  <c r="J125" i="73"/>
  <c r="J179" i="73"/>
  <c r="J113" i="73"/>
  <c r="L211" i="73"/>
  <c r="L222" i="73" s="1"/>
  <c r="I75" i="74"/>
  <c r="G62" i="20"/>
  <c r="G59" i="59"/>
  <c r="N71" i="63"/>
  <c r="G68" i="20"/>
  <c r="E35" i="63"/>
  <c r="E39" i="63"/>
  <c r="E42" i="63" s="1"/>
  <c r="E44" i="63" s="1"/>
  <c r="I61" i="69"/>
  <c r="G38" i="3"/>
  <c r="M33" i="3"/>
  <c r="S33" i="3"/>
  <c r="G34" i="3"/>
  <c r="G56" i="3"/>
  <c r="H38" i="3"/>
  <c r="N33" i="3"/>
  <c r="T33" i="3"/>
  <c r="H34" i="3"/>
  <c r="H56" i="3"/>
  <c r="J55" i="63"/>
  <c r="H104" i="69"/>
  <c r="I100" i="69" s="1"/>
  <c r="I104" i="69" s="1"/>
  <c r="C9" i="66"/>
  <c r="I51" i="4"/>
  <c r="O25" i="4"/>
  <c r="H51" i="4"/>
  <c r="N25" i="4"/>
  <c r="K20" i="3"/>
  <c r="E21" i="3"/>
  <c r="E49" i="3"/>
  <c r="K24" i="4"/>
  <c r="E25" i="4"/>
  <c r="F53" i="3"/>
  <c r="F54" i="3" s="1"/>
  <c r="F88" i="63"/>
  <c r="F90" i="63" s="1"/>
  <c r="F51" i="4"/>
  <c r="L25" i="4"/>
  <c r="F38" i="3"/>
  <c r="L33" i="3"/>
  <c r="H39" i="63"/>
  <c r="H42" i="63" s="1"/>
  <c r="H44" i="63" s="1"/>
  <c r="H35" i="63"/>
  <c r="F65" i="59"/>
  <c r="F10" i="59"/>
  <c r="F10" i="20"/>
  <c r="I39" i="63"/>
  <c r="I42" i="63" s="1"/>
  <c r="I44" i="63" s="1"/>
  <c r="I35" i="63"/>
  <c r="G65" i="59"/>
  <c r="O20" i="3"/>
  <c r="U20" i="3"/>
  <c r="I49" i="3"/>
  <c r="I21" i="3"/>
  <c r="S20" i="3"/>
  <c r="M20" i="3"/>
  <c r="G21" i="3"/>
  <c r="G49" i="3"/>
  <c r="M25" i="4"/>
  <c r="G51" i="4"/>
  <c r="K96" i="63"/>
  <c r="P26" i="81" s="1"/>
  <c r="J41" i="69"/>
  <c r="H44" i="69"/>
  <c r="H45" i="69" s="1"/>
  <c r="I38" i="3"/>
  <c r="U33" i="3"/>
  <c r="O33" i="3"/>
  <c r="I34" i="3"/>
  <c r="I56" i="3"/>
  <c r="T20" i="3"/>
  <c r="H49" i="3"/>
  <c r="N20" i="3"/>
  <c r="H21" i="3"/>
  <c r="L15" i="74" l="1"/>
  <c r="K68" i="79"/>
  <c r="K75" i="79"/>
  <c r="N9" i="77" s="1"/>
  <c r="N15" i="77" s="1"/>
  <c r="L68" i="79"/>
  <c r="O7" i="77" s="1"/>
  <c r="N10" i="74"/>
  <c r="N11" i="74"/>
  <c r="N9" i="74"/>
  <c r="N13" i="74"/>
  <c r="N12" i="74"/>
  <c r="K15" i="74"/>
  <c r="K46" i="74" s="1"/>
  <c r="K56" i="74" s="1"/>
  <c r="I68" i="79"/>
  <c r="L7" i="77" s="1"/>
  <c r="M15" i="74"/>
  <c r="J68" i="79"/>
  <c r="M7" i="77" s="1"/>
  <c r="I15" i="74"/>
  <c r="I46" i="74" s="1"/>
  <c r="I56" i="74" s="1"/>
  <c r="H68" i="79"/>
  <c r="M26" i="81"/>
  <c r="L26" i="81"/>
  <c r="O26" i="81"/>
  <c r="N26" i="81"/>
  <c r="J155" i="73"/>
  <c r="G39" i="63"/>
  <c r="G42" i="63" s="1"/>
  <c r="G44" i="63" s="1"/>
  <c r="G35" i="63"/>
  <c r="J46" i="74"/>
  <c r="J56" i="74" s="1"/>
  <c r="L46" i="74"/>
  <c r="L56" i="74" s="1"/>
  <c r="K134" i="79"/>
  <c r="M27" i="63" s="1"/>
  <c r="K10" i="63"/>
  <c r="I75" i="79"/>
  <c r="L9" i="77" s="1"/>
  <c r="L15" i="77" s="1"/>
  <c r="H75" i="79"/>
  <c r="K9" i="77" s="1"/>
  <c r="K15" i="77" s="1"/>
  <c r="J10" i="63"/>
  <c r="J12" i="63" s="1"/>
  <c r="L10" i="63"/>
  <c r="J75" i="79"/>
  <c r="M9" i="77" s="1"/>
  <c r="M15" i="77" s="1"/>
  <c r="N10" i="63"/>
  <c r="L75" i="79"/>
  <c r="O9" i="77" s="1"/>
  <c r="O15" i="77" s="1"/>
  <c r="I91" i="73"/>
  <c r="E38" i="3"/>
  <c r="R38" i="3" s="1"/>
  <c r="F56" i="3"/>
  <c r="F57" i="3" s="1"/>
  <c r="U32" i="72"/>
  <c r="H21" i="75"/>
  <c r="H25" i="75" s="1"/>
  <c r="H28" i="75" s="1"/>
  <c r="J88" i="73"/>
  <c r="J91" i="73" s="1"/>
  <c r="J43" i="73"/>
  <c r="M93" i="63"/>
  <c r="L87" i="73"/>
  <c r="L164" i="73"/>
  <c r="R33" i="3"/>
  <c r="I27" i="72"/>
  <c r="H35" i="72"/>
  <c r="H43" i="72" s="1"/>
  <c r="H51" i="72" s="1"/>
  <c r="H58" i="72" s="1"/>
  <c r="H70" i="72" s="1"/>
  <c r="AC30" i="72"/>
  <c r="AD29" i="72"/>
  <c r="V31" i="72"/>
  <c r="W28" i="72"/>
  <c r="J157" i="73"/>
  <c r="J160" i="73" s="1"/>
  <c r="H184" i="73"/>
  <c r="H99" i="73"/>
  <c r="H181" i="73"/>
  <c r="H100" i="73"/>
  <c r="K98" i="73"/>
  <c r="K73" i="73"/>
  <c r="K89" i="73" s="1"/>
  <c r="L23" i="73"/>
  <c r="L183" i="73" s="1"/>
  <c r="K53" i="73"/>
  <c r="K90" i="73" s="1"/>
  <c r="N7" i="63"/>
  <c r="L68" i="69"/>
  <c r="L229" i="73"/>
  <c r="M62" i="74" s="1"/>
  <c r="J105" i="63"/>
  <c r="J106" i="63" s="1"/>
  <c r="K226" i="73"/>
  <c r="K230" i="73" s="1"/>
  <c r="J28" i="67"/>
  <c r="J7" i="67"/>
  <c r="K2" i="67"/>
  <c r="K33" i="3"/>
  <c r="E7" i="59"/>
  <c r="E111" i="3"/>
  <c r="E7" i="20"/>
  <c r="E8" i="3"/>
  <c r="E48" i="3" s="1"/>
  <c r="K7" i="4"/>
  <c r="E73" i="4"/>
  <c r="E8" i="54"/>
  <c r="E34" i="3"/>
  <c r="F23" i="59"/>
  <c r="F42" i="59"/>
  <c r="F70" i="59"/>
  <c r="F23" i="20"/>
  <c r="F73" i="20"/>
  <c r="F45" i="20"/>
  <c r="N109" i="63"/>
  <c r="K64" i="69"/>
  <c r="J23" i="75"/>
  <c r="J36" i="75" s="1"/>
  <c r="L27" i="69"/>
  <c r="I63" i="69"/>
  <c r="I18" i="75" s="1"/>
  <c r="J63" i="69"/>
  <c r="I19" i="75"/>
  <c r="H120" i="69"/>
  <c r="H122" i="69" s="1"/>
  <c r="H38" i="75" s="1"/>
  <c r="H15" i="75"/>
  <c r="K11" i="75"/>
  <c r="K116" i="69"/>
  <c r="K117" i="69"/>
  <c r="L11" i="75"/>
  <c r="K187" i="73"/>
  <c r="K185" i="73"/>
  <c r="K60" i="69"/>
  <c r="K109" i="69"/>
  <c r="K115" i="69"/>
  <c r="K111" i="69"/>
  <c r="L33" i="69"/>
  <c r="K58" i="73"/>
  <c r="K59" i="73"/>
  <c r="K60" i="73"/>
  <c r="K44" i="73"/>
  <c r="K179" i="73"/>
  <c r="K134" i="73"/>
  <c r="K113" i="73"/>
  <c r="K110" i="73"/>
  <c r="K122" i="73"/>
  <c r="K125" i="73"/>
  <c r="J61" i="69"/>
  <c r="E86" i="63"/>
  <c r="E87" i="63" s="1"/>
  <c r="E46" i="63"/>
  <c r="G57" i="4"/>
  <c r="M51" i="4"/>
  <c r="F62" i="3"/>
  <c r="F57" i="4"/>
  <c r="L51" i="4"/>
  <c r="G53" i="3"/>
  <c r="G54" i="3" s="1"/>
  <c r="G50" i="3"/>
  <c r="H41" i="3"/>
  <c r="T38" i="3"/>
  <c r="N38" i="3"/>
  <c r="H10" i="20"/>
  <c r="H10" i="59"/>
  <c r="U38" i="3"/>
  <c r="I41" i="3"/>
  <c r="O38" i="3"/>
  <c r="K41" i="69"/>
  <c r="G10" i="59"/>
  <c r="G10" i="20"/>
  <c r="E57" i="3"/>
  <c r="E62" i="3"/>
  <c r="K25" i="4"/>
  <c r="E51" i="4"/>
  <c r="G57" i="3"/>
  <c r="G62" i="3"/>
  <c r="F41" i="3"/>
  <c r="L38" i="3"/>
  <c r="N51" i="4"/>
  <c r="H57" i="4"/>
  <c r="H50" i="3"/>
  <c r="H53" i="3"/>
  <c r="H54" i="3" s="1"/>
  <c r="I43" i="69"/>
  <c r="I12" i="75" s="1"/>
  <c r="I14" i="75" s="1"/>
  <c r="H95" i="63"/>
  <c r="H103" i="63" s="1"/>
  <c r="H86" i="63"/>
  <c r="H87" i="63" s="1"/>
  <c r="H46" i="63"/>
  <c r="E50" i="3"/>
  <c r="E53" i="3"/>
  <c r="E54" i="3" s="1"/>
  <c r="I10" i="20"/>
  <c r="I10" i="59"/>
  <c r="I95" i="63"/>
  <c r="I103" i="63" s="1"/>
  <c r="I86" i="63"/>
  <c r="I46" i="63"/>
  <c r="E10" i="59"/>
  <c r="E10" i="20"/>
  <c r="I57" i="4"/>
  <c r="O51" i="4"/>
  <c r="H57" i="3"/>
  <c r="H62" i="3"/>
  <c r="I62" i="3"/>
  <c r="I57" i="3"/>
  <c r="M96" i="63"/>
  <c r="L96" i="63"/>
  <c r="U26" i="81" s="1"/>
  <c r="I50" i="3"/>
  <c r="I53" i="3"/>
  <c r="I54" i="3" s="1"/>
  <c r="G41" i="3"/>
  <c r="S38" i="3"/>
  <c r="M38" i="3"/>
  <c r="L17" i="77" l="1"/>
  <c r="L16" i="77"/>
  <c r="L14" i="77"/>
  <c r="L23" i="77"/>
  <c r="L22" i="77"/>
  <c r="O17" i="77"/>
  <c r="O14" i="77"/>
  <c r="O23" i="77"/>
  <c r="O22" i="77"/>
  <c r="O16" i="77"/>
  <c r="O18" i="77" s="1"/>
  <c r="L18" i="77"/>
  <c r="H121" i="79"/>
  <c r="I26" i="74" s="1"/>
  <c r="K7" i="77"/>
  <c r="K121" i="79"/>
  <c r="L26" i="74" s="1"/>
  <c r="N7" i="77"/>
  <c r="M22" i="77"/>
  <c r="M17" i="77"/>
  <c r="M14" i="77"/>
  <c r="M23" i="77"/>
  <c r="M16" i="77"/>
  <c r="L20" i="74"/>
  <c r="K73" i="79"/>
  <c r="K133" i="79"/>
  <c r="L30" i="74" s="1"/>
  <c r="L32" i="74" s="1"/>
  <c r="L33" i="74" s="1"/>
  <c r="K74" i="79"/>
  <c r="M16" i="63" s="1"/>
  <c r="K125" i="79"/>
  <c r="L27" i="74" s="1"/>
  <c r="K126" i="79"/>
  <c r="L28" i="74" s="1"/>
  <c r="M46" i="74"/>
  <c r="M56" i="74" s="1"/>
  <c r="N15" i="74"/>
  <c r="K38" i="3"/>
  <c r="R26" i="81"/>
  <c r="T26" i="81"/>
  <c r="S26" i="81"/>
  <c r="Q26" i="81"/>
  <c r="E41" i="3"/>
  <c r="R41" i="3" s="1"/>
  <c r="G46" i="63"/>
  <c r="G95" i="63"/>
  <c r="G103" i="63" s="1"/>
  <c r="G86" i="63"/>
  <c r="G87" i="63" s="1"/>
  <c r="J85" i="63"/>
  <c r="I87" i="63"/>
  <c r="K20" i="74"/>
  <c r="M20" i="74"/>
  <c r="J58" i="63"/>
  <c r="I20" i="74"/>
  <c r="J20" i="74"/>
  <c r="L134" i="79"/>
  <c r="N27" i="63" s="1"/>
  <c r="L133" i="79"/>
  <c r="L126" i="79"/>
  <c r="M28" i="74" s="1"/>
  <c r="L73" i="79"/>
  <c r="O8" i="77" s="1"/>
  <c r="L74" i="79"/>
  <c r="L121" i="79"/>
  <c r="M26" i="74" s="1"/>
  <c r="L125" i="79"/>
  <c r="M27" i="74" s="1"/>
  <c r="J73" i="79"/>
  <c r="J74" i="79"/>
  <c r="J134" i="79"/>
  <c r="L27" i="63" s="1"/>
  <c r="J133" i="79"/>
  <c r="J121" i="79"/>
  <c r="K26" i="74" s="1"/>
  <c r="J126" i="79"/>
  <c r="K28" i="74" s="1"/>
  <c r="J125" i="79"/>
  <c r="K27" i="74" s="1"/>
  <c r="H134" i="79"/>
  <c r="J27" i="63" s="1"/>
  <c r="H133" i="79"/>
  <c r="H126" i="79"/>
  <c r="I28" i="74" s="1"/>
  <c r="H125" i="79"/>
  <c r="I27" i="74" s="1"/>
  <c r="H73" i="79"/>
  <c r="H74" i="79"/>
  <c r="I126" i="79"/>
  <c r="J28" i="74" s="1"/>
  <c r="I74" i="79"/>
  <c r="I134" i="79"/>
  <c r="K27" i="63" s="1"/>
  <c r="I133" i="79"/>
  <c r="I121" i="79"/>
  <c r="J26" i="74" s="1"/>
  <c r="N26" i="74" s="1"/>
  <c r="I73" i="79"/>
  <c r="I125" i="79"/>
  <c r="J27" i="74" s="1"/>
  <c r="M15" i="63"/>
  <c r="I93" i="73"/>
  <c r="M88" i="73" s="1"/>
  <c r="I101" i="73"/>
  <c r="K155" i="73"/>
  <c r="K88" i="73"/>
  <c r="K91" i="73" s="1"/>
  <c r="K43" i="73"/>
  <c r="J27" i="72"/>
  <c r="I35" i="72"/>
  <c r="I43" i="72" s="1"/>
  <c r="I51" i="72" s="1"/>
  <c r="I58" i="72" s="1"/>
  <c r="I70" i="72" s="1"/>
  <c r="N93" i="63"/>
  <c r="W31" i="72"/>
  <c r="W32" i="72" s="1"/>
  <c r="X28" i="72"/>
  <c r="V32" i="72"/>
  <c r="AD30" i="72"/>
  <c r="AE29" i="72"/>
  <c r="K157" i="73"/>
  <c r="K160" i="73" s="1"/>
  <c r="I100" i="73"/>
  <c r="J101" i="73"/>
  <c r="J93" i="73"/>
  <c r="J184" i="73" s="1"/>
  <c r="L73" i="73"/>
  <c r="L89" i="73" s="1"/>
  <c r="L98" i="73"/>
  <c r="L179" i="73"/>
  <c r="L53" i="73"/>
  <c r="L90" i="73" s="1"/>
  <c r="L185" i="73"/>
  <c r="L59" i="73"/>
  <c r="L44" i="73"/>
  <c r="L110" i="73"/>
  <c r="L187" i="73"/>
  <c r="L58" i="73"/>
  <c r="L60" i="73"/>
  <c r="L122" i="73"/>
  <c r="L125" i="73"/>
  <c r="L134" i="73"/>
  <c r="L113" i="73"/>
  <c r="K12" i="63"/>
  <c r="K13" i="63" s="1"/>
  <c r="H190" i="73"/>
  <c r="H188" i="73"/>
  <c r="L226" i="73"/>
  <c r="L230" i="73" s="1"/>
  <c r="L2" i="67"/>
  <c r="K7" i="67"/>
  <c r="K28" i="67"/>
  <c r="E23" i="20"/>
  <c r="E73" i="20"/>
  <c r="E45" i="20"/>
  <c r="E42" i="59"/>
  <c r="E70" i="59"/>
  <c r="E23" i="59"/>
  <c r="L64" i="69"/>
  <c r="K23" i="75"/>
  <c r="K36" i="75" s="1"/>
  <c r="I21" i="75"/>
  <c r="I25" i="75" s="1"/>
  <c r="I28" i="75" s="1"/>
  <c r="J19" i="75"/>
  <c r="K63" i="69"/>
  <c r="L116" i="69"/>
  <c r="L117" i="69"/>
  <c r="I15" i="75"/>
  <c r="H22" i="75"/>
  <c r="H34" i="75"/>
  <c r="L12" i="63"/>
  <c r="L109" i="69"/>
  <c r="L111" i="69"/>
  <c r="L115" i="69"/>
  <c r="K105" i="63"/>
  <c r="J100" i="69"/>
  <c r="I44" i="69"/>
  <c r="I45" i="69" s="1"/>
  <c r="I114" i="69"/>
  <c r="I120" i="69" s="1"/>
  <c r="D8" i="66"/>
  <c r="L60" i="69"/>
  <c r="E88" i="63"/>
  <c r="E90" i="63" s="1"/>
  <c r="F110" i="63"/>
  <c r="F111" i="63" s="1"/>
  <c r="F112" i="63" s="1"/>
  <c r="F115" i="63" s="1"/>
  <c r="F117" i="63" s="1"/>
  <c r="K61" i="69"/>
  <c r="J18" i="75"/>
  <c r="N57" i="4"/>
  <c r="H63" i="4"/>
  <c r="H11" i="59"/>
  <c r="H16" i="59" s="1"/>
  <c r="H11" i="20"/>
  <c r="H16" i="20" s="1"/>
  <c r="H63" i="3"/>
  <c r="J43" i="69"/>
  <c r="J12" i="75" s="1"/>
  <c r="J14" i="75" s="1"/>
  <c r="L41" i="69"/>
  <c r="E43" i="3"/>
  <c r="K41" i="3"/>
  <c r="K51" i="4"/>
  <c r="E57" i="4"/>
  <c r="H43" i="3"/>
  <c r="T41" i="3"/>
  <c r="N41" i="3"/>
  <c r="L57" i="4"/>
  <c r="F63" i="4"/>
  <c r="O57" i="4"/>
  <c r="I63" i="4"/>
  <c r="E11" i="20"/>
  <c r="E16" i="20" s="1"/>
  <c r="E63" i="3"/>
  <c r="E11" i="59"/>
  <c r="E16" i="59" s="1"/>
  <c r="O41" i="3"/>
  <c r="U41" i="3"/>
  <c r="I43" i="3"/>
  <c r="F11" i="59"/>
  <c r="F16" i="59" s="1"/>
  <c r="F11" i="20"/>
  <c r="F16" i="20" s="1"/>
  <c r="F63" i="3"/>
  <c r="G43" i="3"/>
  <c r="M41" i="3"/>
  <c r="S41" i="3"/>
  <c r="H88" i="63"/>
  <c r="H90" i="63" s="1"/>
  <c r="F43" i="3"/>
  <c r="L41" i="3"/>
  <c r="I11" i="59"/>
  <c r="I16" i="59" s="1"/>
  <c r="I63" i="3"/>
  <c r="I11" i="20"/>
  <c r="I16" i="20" s="1"/>
  <c r="G11" i="59"/>
  <c r="G16" i="59" s="1"/>
  <c r="G63" i="3"/>
  <c r="G11" i="20"/>
  <c r="G16" i="20" s="1"/>
  <c r="C10" i="66"/>
  <c r="M57" i="4"/>
  <c r="G63" i="4"/>
  <c r="N8" i="77" l="1"/>
  <c r="L18" i="74"/>
  <c r="M8" i="77"/>
  <c r="K8" i="77"/>
  <c r="L19" i="74"/>
  <c r="L21" i="74" s="1"/>
  <c r="L22" i="74" s="1"/>
  <c r="L47" i="74" s="1"/>
  <c r="M18" i="77"/>
  <c r="K77" i="79"/>
  <c r="N17" i="77"/>
  <c r="N14" i="77"/>
  <c r="N23" i="77"/>
  <c r="N22" i="77"/>
  <c r="N16" i="77"/>
  <c r="L8" i="77"/>
  <c r="K14" i="77"/>
  <c r="K23" i="77"/>
  <c r="K22" i="77"/>
  <c r="K16" i="77"/>
  <c r="K17" i="77"/>
  <c r="K137" i="79"/>
  <c r="M25" i="63" s="1"/>
  <c r="I30" i="74"/>
  <c r="I32" i="74" s="1"/>
  <c r="I33" i="74" s="1"/>
  <c r="M30" i="74"/>
  <c r="M32" i="74" s="1"/>
  <c r="M33" i="74" s="1"/>
  <c r="K30" i="74"/>
  <c r="K32" i="74" s="1"/>
  <c r="K33" i="74" s="1"/>
  <c r="G88" i="63"/>
  <c r="G90" i="63" s="1"/>
  <c r="G110" i="63"/>
  <c r="G111" i="63" s="1"/>
  <c r="G112" i="63" s="1"/>
  <c r="G115" i="63" s="1"/>
  <c r="G117" i="63" s="1"/>
  <c r="H110" i="63"/>
  <c r="H111" i="63" s="1"/>
  <c r="H112" i="63" s="1"/>
  <c r="H115" i="63" s="1"/>
  <c r="H117" i="63" s="1"/>
  <c r="N16" i="63"/>
  <c r="M19" i="74"/>
  <c r="M18" i="74"/>
  <c r="J16" i="63"/>
  <c r="I19" i="74"/>
  <c r="K16" i="63"/>
  <c r="J19" i="74"/>
  <c r="N19" i="74" s="1"/>
  <c r="H77" i="79"/>
  <c r="I18" i="74"/>
  <c r="L16" i="63"/>
  <c r="K19" i="74"/>
  <c r="J18" i="74"/>
  <c r="N18" i="74" s="1"/>
  <c r="K18" i="74"/>
  <c r="J30" i="74"/>
  <c r="J32" i="74" s="1"/>
  <c r="J33" i="74" s="1"/>
  <c r="N33" i="74" s="1"/>
  <c r="J137" i="79"/>
  <c r="L25" i="63" s="1"/>
  <c r="I137" i="79"/>
  <c r="K25" i="63" s="1"/>
  <c r="L137" i="79"/>
  <c r="N25" i="63" s="1"/>
  <c r="H137" i="79"/>
  <c r="J25" i="63" s="1"/>
  <c r="J33" i="63" s="1"/>
  <c r="J59" i="63"/>
  <c r="J98" i="63" s="1"/>
  <c r="K28" i="81" s="1"/>
  <c r="K15" i="63"/>
  <c r="I77" i="79"/>
  <c r="L15" i="63"/>
  <c r="J77" i="79"/>
  <c r="N15" i="63"/>
  <c r="L77" i="79"/>
  <c r="J15" i="63"/>
  <c r="I184" i="73"/>
  <c r="M91" i="73"/>
  <c r="L155" i="73"/>
  <c r="L88" i="73"/>
  <c r="L91" i="73" s="1"/>
  <c r="L43" i="73"/>
  <c r="K27" i="72"/>
  <c r="J35" i="72"/>
  <c r="J43" i="72" s="1"/>
  <c r="J51" i="72" s="1"/>
  <c r="J58" i="72" s="1"/>
  <c r="J70" i="72" s="1"/>
  <c r="H192" i="73"/>
  <c r="K101" i="73"/>
  <c r="M12" i="63"/>
  <c r="M13" i="63" s="1"/>
  <c r="AE30" i="72"/>
  <c r="AF29" i="72"/>
  <c r="X31" i="72"/>
  <c r="Y28" i="72"/>
  <c r="L157" i="73"/>
  <c r="L160" i="73" s="1"/>
  <c r="J100" i="73"/>
  <c r="K93" i="73"/>
  <c r="M89" i="73"/>
  <c r="M90" i="73"/>
  <c r="L13" i="63"/>
  <c r="H103" i="73"/>
  <c r="I188" i="73"/>
  <c r="I190" i="73"/>
  <c r="K106" i="63"/>
  <c r="K35" i="81"/>
  <c r="L28" i="67"/>
  <c r="L7" i="67"/>
  <c r="I99" i="73"/>
  <c r="L23" i="75"/>
  <c r="L36" i="75" s="1"/>
  <c r="K19" i="75"/>
  <c r="L63" i="69"/>
  <c r="J21" i="75"/>
  <c r="J25" i="75" s="1"/>
  <c r="J28" i="75" s="1"/>
  <c r="I181" i="73"/>
  <c r="H26" i="75"/>
  <c r="J15" i="75"/>
  <c r="I34" i="75"/>
  <c r="I22" i="75"/>
  <c r="I122" i="69"/>
  <c r="I38" i="75" s="1"/>
  <c r="J44" i="69"/>
  <c r="J45" i="69" s="1"/>
  <c r="J114" i="69"/>
  <c r="J120" i="69" s="1"/>
  <c r="J122" i="69" s="1"/>
  <c r="J38" i="75" s="1"/>
  <c r="J16" i="74"/>
  <c r="E8" i="66"/>
  <c r="K18" i="75"/>
  <c r="L61" i="69"/>
  <c r="O43" i="3"/>
  <c r="U43" i="3"/>
  <c r="I104" i="3"/>
  <c r="I13" i="20"/>
  <c r="I112" i="3"/>
  <c r="I120" i="3" s="1"/>
  <c r="I45" i="3"/>
  <c r="I13" i="59"/>
  <c r="L63" i="4"/>
  <c r="F68" i="4"/>
  <c r="E104" i="3"/>
  <c r="K43" i="3"/>
  <c r="E13" i="59"/>
  <c r="E45" i="3"/>
  <c r="E13" i="20"/>
  <c r="H12" i="20"/>
  <c r="H12" i="59"/>
  <c r="G12" i="59"/>
  <c r="G12" i="20"/>
  <c r="N63" i="4"/>
  <c r="H68" i="4"/>
  <c r="R43" i="3"/>
  <c r="L43" i="3"/>
  <c r="F104" i="3"/>
  <c r="F112" i="3"/>
  <c r="F120" i="3" s="1"/>
  <c r="F45" i="3"/>
  <c r="F13" i="20"/>
  <c r="F13" i="59"/>
  <c r="M43" i="3"/>
  <c r="S43" i="3"/>
  <c r="G104" i="3"/>
  <c r="G45" i="3"/>
  <c r="G112" i="3"/>
  <c r="G120" i="3" s="1"/>
  <c r="G13" i="20"/>
  <c r="G13" i="59"/>
  <c r="E12" i="59"/>
  <c r="E12" i="20"/>
  <c r="T43" i="3"/>
  <c r="N43" i="3"/>
  <c r="H104" i="3"/>
  <c r="H13" i="59"/>
  <c r="H112" i="3"/>
  <c r="H120" i="3" s="1"/>
  <c r="H13" i="20"/>
  <c r="H45" i="3"/>
  <c r="G68" i="4"/>
  <c r="M63" i="4"/>
  <c r="F12" i="20"/>
  <c r="F12" i="59"/>
  <c r="E63" i="4"/>
  <c r="K57" i="4"/>
  <c r="K43" i="69"/>
  <c r="K12" i="75" s="1"/>
  <c r="K14" i="75" s="1"/>
  <c r="O63" i="4"/>
  <c r="I68" i="4"/>
  <c r="I12" i="59"/>
  <c r="I12" i="20"/>
  <c r="I110" i="63"/>
  <c r="K10" i="77" l="1"/>
  <c r="K21" i="77" s="1"/>
  <c r="K24" i="77" s="1"/>
  <c r="N10" i="77"/>
  <c r="N21" i="77" s="1"/>
  <c r="M10" i="77"/>
  <c r="M21" i="77" s="1"/>
  <c r="M24" i="77" s="1"/>
  <c r="M26" i="77" s="1"/>
  <c r="K18" i="77"/>
  <c r="K26" i="77" s="1"/>
  <c r="L10" i="77"/>
  <c r="L21" i="77" s="1"/>
  <c r="L24" i="77" s="1"/>
  <c r="L26" i="77" s="1"/>
  <c r="N18" i="77"/>
  <c r="O10" i="77"/>
  <c r="O21" i="77" s="1"/>
  <c r="O24" i="77" s="1"/>
  <c r="O26" i="77" s="1"/>
  <c r="N24" i="77"/>
  <c r="I21" i="74"/>
  <c r="I22" i="74" s="1"/>
  <c r="I34" i="74" s="1"/>
  <c r="J20" i="63"/>
  <c r="J21" i="63" s="1"/>
  <c r="J22" i="63" s="1"/>
  <c r="J21" i="74"/>
  <c r="M21" i="74"/>
  <c r="M22" i="74" s="1"/>
  <c r="M47" i="74" s="1"/>
  <c r="J78" i="63"/>
  <c r="J102" i="63" s="1"/>
  <c r="K34" i="81"/>
  <c r="J61" i="63"/>
  <c r="K30" i="81"/>
  <c r="J62" i="63"/>
  <c r="K31" i="81"/>
  <c r="L34" i="74"/>
  <c r="H28" i="81"/>
  <c r="G28" i="81"/>
  <c r="J28" i="81"/>
  <c r="I28" i="81"/>
  <c r="H35" i="81"/>
  <c r="I35" i="81"/>
  <c r="G35" i="81"/>
  <c r="J35" i="81"/>
  <c r="K21" i="74"/>
  <c r="K22" i="74" s="1"/>
  <c r="K47" i="74" s="1"/>
  <c r="H78" i="79"/>
  <c r="H79" i="79" s="1"/>
  <c r="K20" i="63"/>
  <c r="K21" i="63" s="1"/>
  <c r="K22" i="63" s="1"/>
  <c r="I78" i="79"/>
  <c r="I79" i="79" s="1"/>
  <c r="L27" i="72"/>
  <c r="K35" i="72"/>
  <c r="K43" i="72" s="1"/>
  <c r="K51" i="72" s="1"/>
  <c r="K58" i="72" s="1"/>
  <c r="K70" i="72" s="1"/>
  <c r="L101" i="73"/>
  <c r="N12" i="63"/>
  <c r="P12" i="63" s="1"/>
  <c r="Y31" i="72"/>
  <c r="Y32" i="72" s="1"/>
  <c r="Z28" i="72"/>
  <c r="X32" i="72"/>
  <c r="AF30" i="72"/>
  <c r="AG29" i="72"/>
  <c r="K184" i="73"/>
  <c r="K99" i="73"/>
  <c r="K100" i="73"/>
  <c r="K16" i="74"/>
  <c r="L93" i="73"/>
  <c r="L184" i="73" s="1"/>
  <c r="I103" i="73"/>
  <c r="I192" i="73"/>
  <c r="J188" i="73"/>
  <c r="J190" i="73"/>
  <c r="P34" i="81"/>
  <c r="P35" i="81"/>
  <c r="J99" i="73"/>
  <c r="L19" i="75"/>
  <c r="K21" i="75"/>
  <c r="K25" i="75" s="1"/>
  <c r="K28" i="75" s="1"/>
  <c r="I26" i="75"/>
  <c r="K15" i="75"/>
  <c r="J34" i="75"/>
  <c r="J22" i="75"/>
  <c r="H29" i="75"/>
  <c r="H37" i="75" s="1"/>
  <c r="H39" i="75" s="1"/>
  <c r="H44" i="75" s="1"/>
  <c r="H50" i="75" s="1"/>
  <c r="H51" i="75" s="1"/>
  <c r="H52" i="75" s="1"/>
  <c r="J181" i="73"/>
  <c r="K44" i="69"/>
  <c r="K45" i="69" s="1"/>
  <c r="K114" i="69"/>
  <c r="F8" i="66"/>
  <c r="L18" i="75"/>
  <c r="O68" i="4"/>
  <c r="I70" i="4"/>
  <c r="I124" i="4"/>
  <c r="L68" i="4"/>
  <c r="F70" i="4"/>
  <c r="F124" i="4"/>
  <c r="E105" i="3"/>
  <c r="G70" i="4"/>
  <c r="G124" i="4"/>
  <c r="M68" i="4"/>
  <c r="G105" i="3"/>
  <c r="F105" i="3"/>
  <c r="L43" i="69"/>
  <c r="L12" i="75" s="1"/>
  <c r="L14" i="75" s="1"/>
  <c r="N68" i="4"/>
  <c r="H124" i="4"/>
  <c r="H70" i="4"/>
  <c r="H105" i="3"/>
  <c r="I105" i="3"/>
  <c r="K63" i="4"/>
  <c r="E68" i="4"/>
  <c r="M27" i="77" l="1"/>
  <c r="M29" i="77"/>
  <c r="O27" i="77"/>
  <c r="N26" i="77"/>
  <c r="L27" i="77"/>
  <c r="L29" i="77"/>
  <c r="K29" i="77"/>
  <c r="K27" i="77"/>
  <c r="J22" i="74"/>
  <c r="N21" i="74"/>
  <c r="J100" i="63"/>
  <c r="J34" i="63"/>
  <c r="H10" i="67" s="1"/>
  <c r="I47" i="74"/>
  <c r="I23" i="74"/>
  <c r="I50" i="74" s="1"/>
  <c r="M34" i="74"/>
  <c r="M37" i="74" s="1"/>
  <c r="M40" i="74" s="1"/>
  <c r="M41" i="74" s="1"/>
  <c r="K62" i="63"/>
  <c r="K61" i="63"/>
  <c r="L35" i="81"/>
  <c r="O35" i="81"/>
  <c r="N35" i="81"/>
  <c r="M35" i="81"/>
  <c r="L34" i="81"/>
  <c r="N34" i="81"/>
  <c r="M34" i="81"/>
  <c r="O34" i="81"/>
  <c r="L37" i="74"/>
  <c r="L40" i="74" s="1"/>
  <c r="L41" i="74" s="1"/>
  <c r="L48" i="74"/>
  <c r="P31" i="81"/>
  <c r="H31" i="81"/>
  <c r="G31" i="81"/>
  <c r="J31" i="81"/>
  <c r="I31" i="81"/>
  <c r="P30" i="81"/>
  <c r="I37" i="74"/>
  <c r="I40" i="74" s="1"/>
  <c r="I41" i="74" s="1"/>
  <c r="I48" i="74"/>
  <c r="K34" i="74"/>
  <c r="H34" i="81"/>
  <c r="I34" i="81"/>
  <c r="G34" i="81"/>
  <c r="J34" i="81"/>
  <c r="H30" i="81"/>
  <c r="I30" i="81"/>
  <c r="J30" i="81"/>
  <c r="G30" i="81"/>
  <c r="J74" i="63"/>
  <c r="J79" i="63" s="1"/>
  <c r="K33" i="81"/>
  <c r="K78" i="63"/>
  <c r="K102" i="63" s="1"/>
  <c r="K59" i="63"/>
  <c r="K98" i="63" s="1"/>
  <c r="P28" i="81" s="1"/>
  <c r="J99" i="63"/>
  <c r="K29" i="81" s="1"/>
  <c r="N13" i="63"/>
  <c r="L20" i="63"/>
  <c r="L21" i="63" s="1"/>
  <c r="L22" i="63" s="1"/>
  <c r="J78" i="79"/>
  <c r="J79" i="79" s="1"/>
  <c r="M27" i="72"/>
  <c r="L35" i="72"/>
  <c r="L43" i="72" s="1"/>
  <c r="L51" i="72" s="1"/>
  <c r="L58" i="72" s="1"/>
  <c r="L70" i="72" s="1"/>
  <c r="L33" i="63"/>
  <c r="AG30" i="72"/>
  <c r="AH29" i="72"/>
  <c r="AA28" i="72"/>
  <c r="Z31" i="72"/>
  <c r="L100" i="73"/>
  <c r="K58" i="63"/>
  <c r="K33" i="63"/>
  <c r="K34" i="63" s="1"/>
  <c r="K35" i="63" s="1"/>
  <c r="D9" i="66"/>
  <c r="J192" i="73"/>
  <c r="J103" i="73"/>
  <c r="L190" i="73"/>
  <c r="L188" i="73"/>
  <c r="K190" i="73"/>
  <c r="K188" i="73"/>
  <c r="U34" i="81"/>
  <c r="L62" i="63"/>
  <c r="U35" i="81"/>
  <c r="L61" i="63"/>
  <c r="K181" i="73"/>
  <c r="L99" i="73"/>
  <c r="L21" i="75"/>
  <c r="L25" i="75" s="1"/>
  <c r="L28" i="75" s="1"/>
  <c r="J26" i="75"/>
  <c r="L15" i="75"/>
  <c r="K34" i="75"/>
  <c r="K22" i="75"/>
  <c r="H30" i="75"/>
  <c r="I29" i="75"/>
  <c r="I37" i="75" s="1"/>
  <c r="I39" i="75" s="1"/>
  <c r="I44" i="75" s="1"/>
  <c r="I50" i="75" s="1"/>
  <c r="I51" i="75" s="1"/>
  <c r="I52" i="75" s="1"/>
  <c r="K120" i="69"/>
  <c r="L44" i="69"/>
  <c r="L45" i="69" s="1"/>
  <c r="L114" i="69"/>
  <c r="L181" i="73"/>
  <c r="G8" i="66"/>
  <c r="L16" i="74"/>
  <c r="I106" i="3"/>
  <c r="O105" i="3" s="1"/>
  <c r="I127" i="3"/>
  <c r="I128" i="3" s="1"/>
  <c r="I129" i="3" s="1"/>
  <c r="I132" i="3" s="1"/>
  <c r="I134" i="3" s="1"/>
  <c r="F127" i="3"/>
  <c r="F128" i="3" s="1"/>
  <c r="F129" i="3" s="1"/>
  <c r="F132" i="3" s="1"/>
  <c r="F134" i="3" s="1"/>
  <c r="F106" i="3"/>
  <c r="I125" i="4"/>
  <c r="I126" i="4" s="1"/>
  <c r="I128" i="4" s="1"/>
  <c r="I42" i="54"/>
  <c r="I38" i="54" s="1"/>
  <c r="I44" i="54" s="1"/>
  <c r="H106" i="3"/>
  <c r="N105" i="3" s="1"/>
  <c r="H127" i="3"/>
  <c r="H128" i="3" s="1"/>
  <c r="H129" i="3" s="1"/>
  <c r="H132" i="3" s="1"/>
  <c r="H134" i="3" s="1"/>
  <c r="G106" i="3"/>
  <c r="M105" i="3" s="1"/>
  <c r="G127" i="3"/>
  <c r="G128" i="3" s="1"/>
  <c r="G129" i="3" s="1"/>
  <c r="G132" i="3" s="1"/>
  <c r="G134" i="3" s="1"/>
  <c r="E106" i="3"/>
  <c r="K105" i="3" s="1"/>
  <c r="F125" i="4"/>
  <c r="F126" i="4" s="1"/>
  <c r="F128" i="4" s="1"/>
  <c r="F42" i="54"/>
  <c r="F38" i="54" s="1"/>
  <c r="F44" i="54" s="1"/>
  <c r="H125" i="4"/>
  <c r="H126" i="4" s="1"/>
  <c r="H128" i="4" s="1"/>
  <c r="H42" i="54"/>
  <c r="H38" i="54" s="1"/>
  <c r="H44" i="54" s="1"/>
  <c r="E124" i="4"/>
  <c r="E70" i="4"/>
  <c r="K68" i="4"/>
  <c r="G42" i="54"/>
  <c r="G38" i="54" s="1"/>
  <c r="G44" i="54" s="1"/>
  <c r="G125" i="4"/>
  <c r="G126" i="4" s="1"/>
  <c r="G128" i="4" s="1"/>
  <c r="N27" i="77" l="1"/>
  <c r="N29" i="77"/>
  <c r="O29" i="77"/>
  <c r="M48" i="74"/>
  <c r="J47" i="74"/>
  <c r="J34" i="74"/>
  <c r="H29" i="64"/>
  <c r="H31" i="67"/>
  <c r="J39" i="63"/>
  <c r="J42" i="63" s="1"/>
  <c r="J43" i="63" s="1"/>
  <c r="H11" i="67" s="1"/>
  <c r="D10" i="66"/>
  <c r="J35" i="63"/>
  <c r="U31" i="81"/>
  <c r="R31" i="81" s="1"/>
  <c r="J101" i="63"/>
  <c r="M31" i="81"/>
  <c r="O31" i="81"/>
  <c r="N31" i="81"/>
  <c r="L31" i="81"/>
  <c r="M30" i="81"/>
  <c r="N30" i="81"/>
  <c r="L30" i="81"/>
  <c r="O30" i="81"/>
  <c r="R35" i="81"/>
  <c r="Q35" i="81"/>
  <c r="T35" i="81"/>
  <c r="S35" i="81"/>
  <c r="L28" i="81"/>
  <c r="O28" i="81"/>
  <c r="N28" i="81"/>
  <c r="M28" i="81"/>
  <c r="R34" i="81"/>
  <c r="Q34" i="81"/>
  <c r="S34" i="81"/>
  <c r="T34" i="81"/>
  <c r="U30" i="81"/>
  <c r="H29" i="81"/>
  <c r="G29" i="81"/>
  <c r="J29" i="81"/>
  <c r="I29" i="81"/>
  <c r="K37" i="74"/>
  <c r="K40" i="74" s="1"/>
  <c r="K41" i="74" s="1"/>
  <c r="K48" i="74"/>
  <c r="K100" i="63"/>
  <c r="H33" i="81"/>
  <c r="I33" i="81"/>
  <c r="J33" i="81"/>
  <c r="G33" i="81"/>
  <c r="K74" i="63"/>
  <c r="P33" i="81"/>
  <c r="I35" i="74"/>
  <c r="I51" i="74" s="1"/>
  <c r="L78" i="63"/>
  <c r="L102" i="63" s="1"/>
  <c r="L59" i="63"/>
  <c r="L98" i="63" s="1"/>
  <c r="U28" i="81" s="1"/>
  <c r="K99" i="63"/>
  <c r="P29" i="81" s="1"/>
  <c r="K78" i="79"/>
  <c r="K79" i="79" s="1"/>
  <c r="M20" i="63"/>
  <c r="M21" i="63" s="1"/>
  <c r="M22" i="63" s="1"/>
  <c r="I38" i="74"/>
  <c r="I52" i="74" s="1"/>
  <c r="N27" i="72"/>
  <c r="M35" i="72"/>
  <c r="M43" i="72" s="1"/>
  <c r="M33" i="63"/>
  <c r="Z32" i="72"/>
  <c r="AB28" i="72"/>
  <c r="AA31" i="72"/>
  <c r="AA32" i="72" s="1"/>
  <c r="AH30" i="72"/>
  <c r="AI29" i="72"/>
  <c r="L58" i="63"/>
  <c r="K23" i="74"/>
  <c r="K50" i="74" s="1"/>
  <c r="L74" i="63"/>
  <c r="I61" i="74"/>
  <c r="E9" i="66"/>
  <c r="J23" i="74"/>
  <c r="J50" i="74" s="1"/>
  <c r="L100" i="63"/>
  <c r="I31" i="67"/>
  <c r="E10" i="66"/>
  <c r="L192" i="73"/>
  <c r="K192" i="73"/>
  <c r="K39" i="63"/>
  <c r="K42" i="63" s="1"/>
  <c r="K43" i="63" s="1"/>
  <c r="I10" i="67"/>
  <c r="I29" i="64"/>
  <c r="L103" i="73"/>
  <c r="K103" i="73"/>
  <c r="M62" i="63"/>
  <c r="M61" i="63"/>
  <c r="N62" i="63"/>
  <c r="N59" i="63"/>
  <c r="N61" i="63"/>
  <c r="K26" i="75"/>
  <c r="L34" i="75"/>
  <c r="L22" i="75"/>
  <c r="I30" i="75"/>
  <c r="J29" i="75"/>
  <c r="J37" i="75" s="1"/>
  <c r="J39" i="75" s="1"/>
  <c r="J44" i="75" s="1"/>
  <c r="J50" i="75" s="1"/>
  <c r="J51" i="75" s="1"/>
  <c r="J52" i="75" s="1"/>
  <c r="K122" i="69"/>
  <c r="K38" i="75" s="1"/>
  <c r="L120" i="69"/>
  <c r="L122" i="69" s="1"/>
  <c r="L38" i="75" s="1"/>
  <c r="M16" i="74"/>
  <c r="F9" i="66"/>
  <c r="L34" i="63"/>
  <c r="J10" i="67" s="1"/>
  <c r="K102" i="3"/>
  <c r="K101" i="3"/>
  <c r="K103" i="3"/>
  <c r="E108" i="3"/>
  <c r="K104" i="3"/>
  <c r="E42" i="54"/>
  <c r="E38" i="54" s="1"/>
  <c r="E44" i="54" s="1"/>
  <c r="E125" i="4"/>
  <c r="E126" i="4" s="1"/>
  <c r="E128" i="4" s="1"/>
  <c r="L101" i="3"/>
  <c r="L102" i="3"/>
  <c r="L103" i="3"/>
  <c r="F108" i="3"/>
  <c r="L104" i="3"/>
  <c r="O102" i="3"/>
  <c r="O101" i="3"/>
  <c r="O103" i="3"/>
  <c r="I108" i="3"/>
  <c r="O104" i="3"/>
  <c r="N103" i="3"/>
  <c r="N101" i="3"/>
  <c r="N102" i="3"/>
  <c r="H108" i="3"/>
  <c r="N104" i="3"/>
  <c r="M102" i="3"/>
  <c r="M101" i="3"/>
  <c r="M103" i="3"/>
  <c r="G108" i="3"/>
  <c r="M104" i="3"/>
  <c r="L105" i="3"/>
  <c r="J48" i="74" l="1"/>
  <c r="J37" i="74"/>
  <c r="J40" i="74" s="1"/>
  <c r="J41" i="74" s="1"/>
  <c r="T31" i="81"/>
  <c r="Q31" i="81"/>
  <c r="S31" i="81"/>
  <c r="R28" i="81"/>
  <c r="S28" i="81"/>
  <c r="Q28" i="81"/>
  <c r="T28" i="81"/>
  <c r="Q30" i="81"/>
  <c r="S30" i="81"/>
  <c r="T30" i="81"/>
  <c r="R30" i="81"/>
  <c r="N29" i="81"/>
  <c r="M29" i="81"/>
  <c r="L29" i="81"/>
  <c r="O29" i="81"/>
  <c r="U33" i="81"/>
  <c r="T33" i="81" s="1"/>
  <c r="M33" i="81"/>
  <c r="L33" i="81"/>
  <c r="O33" i="81"/>
  <c r="N33" i="81"/>
  <c r="N78" i="63"/>
  <c r="M78" i="63"/>
  <c r="M102" i="63" s="1"/>
  <c r="M59" i="63"/>
  <c r="M98" i="63" s="1"/>
  <c r="K44" i="63"/>
  <c r="H33" i="67"/>
  <c r="J44" i="63"/>
  <c r="J86" i="63" s="1"/>
  <c r="N74" i="63"/>
  <c r="N20" i="63"/>
  <c r="N21" i="63" s="1"/>
  <c r="N22" i="63" s="1"/>
  <c r="L78" i="79"/>
  <c r="L79" i="79" s="1"/>
  <c r="I64" i="74"/>
  <c r="O27" i="72"/>
  <c r="N35" i="72"/>
  <c r="N43" i="72" s="1"/>
  <c r="AI30" i="72"/>
  <c r="AJ29" i="72"/>
  <c r="AC28" i="72"/>
  <c r="AB31" i="72"/>
  <c r="AB32" i="72" s="1"/>
  <c r="J61" i="74"/>
  <c r="L99" i="63"/>
  <c r="U29" i="81" s="1"/>
  <c r="M58" i="63"/>
  <c r="L23" i="74"/>
  <c r="L50" i="74" s="1"/>
  <c r="M23" i="74"/>
  <c r="M50" i="74" s="1"/>
  <c r="M74" i="63"/>
  <c r="H34" i="67"/>
  <c r="I65" i="74"/>
  <c r="H12" i="67"/>
  <c r="H14" i="67" s="1"/>
  <c r="J35" i="74"/>
  <c r="J51" i="74" s="1"/>
  <c r="M100" i="63"/>
  <c r="N100" i="63"/>
  <c r="K101" i="63"/>
  <c r="K79" i="63"/>
  <c r="J30" i="75"/>
  <c r="L26" i="75"/>
  <c r="K29" i="75"/>
  <c r="K37" i="75" s="1"/>
  <c r="K39" i="75" s="1"/>
  <c r="K44" i="75" s="1"/>
  <c r="K50" i="75" s="1"/>
  <c r="K51" i="75" s="1"/>
  <c r="K52" i="75" s="1"/>
  <c r="N33" i="63"/>
  <c r="J31" i="67"/>
  <c r="F10" i="66"/>
  <c r="J29" i="64"/>
  <c r="L35" i="63"/>
  <c r="L39" i="63"/>
  <c r="L42" i="63" s="1"/>
  <c r="L43" i="63" s="1"/>
  <c r="M34" i="63"/>
  <c r="K10" i="67" s="1"/>
  <c r="G9" i="66"/>
  <c r="Q33" i="81" l="1"/>
  <c r="R33" i="81"/>
  <c r="S33" i="81"/>
  <c r="R29" i="81"/>
  <c r="T29" i="81"/>
  <c r="Q29" i="81"/>
  <c r="S29" i="81"/>
  <c r="I12" i="67"/>
  <c r="N98" i="63"/>
  <c r="H37" i="67"/>
  <c r="H38" i="67" s="1"/>
  <c r="I33" i="67"/>
  <c r="K95" i="63"/>
  <c r="K86" i="63"/>
  <c r="J95" i="63"/>
  <c r="N58" i="63"/>
  <c r="N34" i="63"/>
  <c r="L10" i="67" s="1"/>
  <c r="I42" i="74"/>
  <c r="K64" i="74"/>
  <c r="P27" i="72"/>
  <c r="O35" i="72"/>
  <c r="O43" i="72" s="1"/>
  <c r="H15" i="67"/>
  <c r="I66" i="74"/>
  <c r="I77" i="74" s="1"/>
  <c r="AD28" i="72"/>
  <c r="AC31" i="72"/>
  <c r="AC32" i="72" s="1"/>
  <c r="AJ30" i="72"/>
  <c r="AK29" i="72"/>
  <c r="K35" i="74"/>
  <c r="K51" i="74" s="1"/>
  <c r="M99" i="63"/>
  <c r="K8" i="66"/>
  <c r="K61" i="74"/>
  <c r="J38" i="74"/>
  <c r="J52" i="74" s="1"/>
  <c r="N102" i="63"/>
  <c r="L101" i="63"/>
  <c r="L79" i="63"/>
  <c r="N79" i="63"/>
  <c r="J64" i="74"/>
  <c r="I11" i="67"/>
  <c r="L44" i="63"/>
  <c r="K30" i="75"/>
  <c r="L29" i="75"/>
  <c r="L37" i="75" s="1"/>
  <c r="L39" i="75" s="1"/>
  <c r="L44" i="75" s="1"/>
  <c r="L50" i="75" s="1"/>
  <c r="L51" i="75" s="1"/>
  <c r="L52" i="75" s="1"/>
  <c r="J87" i="63"/>
  <c r="J110" i="63" s="1"/>
  <c r="K85" i="63"/>
  <c r="K29" i="64"/>
  <c r="G10" i="66"/>
  <c r="M39" i="63"/>
  <c r="M42" i="63" s="1"/>
  <c r="M43" i="63" s="1"/>
  <c r="K31" i="67"/>
  <c r="M35" i="63"/>
  <c r="J42" i="74"/>
  <c r="J103" i="63" l="1"/>
  <c r="H30" i="64" s="1"/>
  <c r="K25" i="81"/>
  <c r="K103" i="63"/>
  <c r="I30" i="64" s="1"/>
  <c r="P25" i="81"/>
  <c r="N99" i="63"/>
  <c r="L31" i="67"/>
  <c r="N39" i="63"/>
  <c r="N42" i="63" s="1"/>
  <c r="N43" i="63" s="1"/>
  <c r="N35" i="63"/>
  <c r="L38" i="74"/>
  <c r="L52" i="74" s="1"/>
  <c r="K9" i="66"/>
  <c r="H39" i="67"/>
  <c r="Q27" i="72"/>
  <c r="P35" i="72"/>
  <c r="P43" i="72" s="1"/>
  <c r="H16" i="67"/>
  <c r="I78" i="74"/>
  <c r="I71" i="74"/>
  <c r="AK30" i="72"/>
  <c r="AL29" i="72"/>
  <c r="AD31" i="72"/>
  <c r="AD32" i="72" s="1"/>
  <c r="AE28" i="72"/>
  <c r="L35" i="74"/>
  <c r="L51" i="74" s="1"/>
  <c r="L61" i="74"/>
  <c r="I34" i="67"/>
  <c r="I37" i="67" s="1"/>
  <c r="J65" i="74"/>
  <c r="J66" i="74" s="1"/>
  <c r="M35" i="74"/>
  <c r="M51" i="74" s="1"/>
  <c r="L65" i="74"/>
  <c r="K38" i="74"/>
  <c r="K52" i="74" s="1"/>
  <c r="J11" i="67"/>
  <c r="K42" i="74"/>
  <c r="K65" i="74"/>
  <c r="K66" i="74" s="1"/>
  <c r="J34" i="67"/>
  <c r="J12" i="67"/>
  <c r="N101" i="63"/>
  <c r="M101" i="63"/>
  <c r="M79" i="63"/>
  <c r="I14" i="67"/>
  <c r="J33" i="67"/>
  <c r="L95" i="63"/>
  <c r="L86" i="63"/>
  <c r="L30" i="75"/>
  <c r="M61" i="74"/>
  <c r="L85" i="63"/>
  <c r="K87" i="63"/>
  <c r="K110" i="63" s="1"/>
  <c r="L103" i="63" l="1"/>
  <c r="J30" i="64" s="1"/>
  <c r="U25" i="81"/>
  <c r="H25" i="81"/>
  <c r="H36" i="81" s="1"/>
  <c r="H48" i="81" s="1"/>
  <c r="K36" i="81"/>
  <c r="K48" i="81" s="1"/>
  <c r="G25" i="81"/>
  <c r="G36" i="81" s="1"/>
  <c r="G48" i="81" s="1"/>
  <c r="G51" i="81" s="1"/>
  <c r="H50" i="81" s="1"/>
  <c r="J25" i="81"/>
  <c r="J36" i="81" s="1"/>
  <c r="J48" i="81" s="1"/>
  <c r="I25" i="81"/>
  <c r="I36" i="81" s="1"/>
  <c r="I48" i="81" s="1"/>
  <c r="M25" i="81"/>
  <c r="M36" i="81" s="1"/>
  <c r="M48" i="81" s="1"/>
  <c r="P36" i="81"/>
  <c r="P48" i="81" s="1"/>
  <c r="L25" i="81"/>
  <c r="L36" i="81" s="1"/>
  <c r="L48" i="81" s="1"/>
  <c r="O25" i="81"/>
  <c r="O36" i="81" s="1"/>
  <c r="O48" i="81" s="1"/>
  <c r="N25" i="81"/>
  <c r="N36" i="81" s="1"/>
  <c r="N48" i="81" s="1"/>
  <c r="L64" i="74"/>
  <c r="L66" i="74" s="1"/>
  <c r="I38" i="67"/>
  <c r="R27" i="72"/>
  <c r="Q35" i="72"/>
  <c r="Q43" i="72" s="1"/>
  <c r="I79" i="74"/>
  <c r="AE31" i="72"/>
  <c r="AE32" i="72" s="1"/>
  <c r="AF28" i="72"/>
  <c r="AL30" i="72"/>
  <c r="AM29" i="72"/>
  <c r="J77" i="74"/>
  <c r="J71" i="74"/>
  <c r="K77" i="74"/>
  <c r="K78" i="74" s="1"/>
  <c r="K71" i="74"/>
  <c r="M65" i="74"/>
  <c r="K12" i="67"/>
  <c r="K34" i="67"/>
  <c r="J14" i="67"/>
  <c r="M8" i="66" s="1"/>
  <c r="I15" i="67"/>
  <c r="L8" i="66"/>
  <c r="J37" i="67"/>
  <c r="M85" i="63"/>
  <c r="K33" i="67"/>
  <c r="N44" i="63"/>
  <c r="L33" i="67"/>
  <c r="M44" i="63"/>
  <c r="M38" i="74"/>
  <c r="M52" i="74" s="1"/>
  <c r="L87" i="63"/>
  <c r="H51" i="81" l="1"/>
  <c r="I50" i="81" s="1"/>
  <c r="I51" i="81" s="1"/>
  <c r="J50" i="81" s="1"/>
  <c r="J51" i="81" s="1"/>
  <c r="R25" i="81"/>
  <c r="R36" i="81" s="1"/>
  <c r="R48" i="81" s="1"/>
  <c r="S25" i="81"/>
  <c r="S36" i="81" s="1"/>
  <c r="S48" i="81" s="1"/>
  <c r="Q25" i="81"/>
  <c r="Q36" i="81" s="1"/>
  <c r="Q48" i="81" s="1"/>
  <c r="T25" i="81"/>
  <c r="T36" i="81" s="1"/>
  <c r="T48" i="81" s="1"/>
  <c r="U36" i="81"/>
  <c r="U48" i="81" s="1"/>
  <c r="K11" i="67"/>
  <c r="K14" i="67" s="1"/>
  <c r="L42" i="74"/>
  <c r="J38" i="67"/>
  <c r="J39" i="67" s="1"/>
  <c r="I39" i="67"/>
  <c r="S27" i="72"/>
  <c r="R35" i="72"/>
  <c r="R43" i="72" s="1"/>
  <c r="L71" i="74"/>
  <c r="J78" i="74"/>
  <c r="I80" i="74"/>
  <c r="AM30" i="72"/>
  <c r="AN29" i="72"/>
  <c r="AF31" i="72"/>
  <c r="AF32" i="72" s="1"/>
  <c r="AG28" i="72"/>
  <c r="L34" i="67"/>
  <c r="L37" i="67" s="1"/>
  <c r="L12" i="67"/>
  <c r="L9" i="66"/>
  <c r="J15" i="67"/>
  <c r="J16" i="67" s="1"/>
  <c r="I16" i="67"/>
  <c r="K37" i="67"/>
  <c r="L110" i="63"/>
  <c r="L77" i="74"/>
  <c r="L78" i="74" s="1"/>
  <c r="M64" i="74"/>
  <c r="M66" i="74" s="1"/>
  <c r="L11" i="67"/>
  <c r="M42" i="74"/>
  <c r="M86" i="63"/>
  <c r="M95" i="63"/>
  <c r="M103" i="63" s="1"/>
  <c r="K30" i="64" s="1"/>
  <c r="N86" i="63"/>
  <c r="N95" i="63"/>
  <c r="K51" i="81" l="1"/>
  <c r="P50" i="81" s="1"/>
  <c r="L50" i="81"/>
  <c r="L51" i="81" s="1"/>
  <c r="M50" i="81" s="1"/>
  <c r="M51" i="81" s="1"/>
  <c r="N50" i="81" s="1"/>
  <c r="N51" i="81" s="1"/>
  <c r="O50" i="81" s="1"/>
  <c r="O51" i="81" s="1"/>
  <c r="P51" i="81" s="1"/>
  <c r="U50" i="81" s="1"/>
  <c r="L14" i="67"/>
  <c r="T27" i="72"/>
  <c r="S35" i="72"/>
  <c r="S43" i="72" s="1"/>
  <c r="J79" i="74"/>
  <c r="AG31" i="72"/>
  <c r="AG32" i="72" s="1"/>
  <c r="AH28" i="72"/>
  <c r="AN30" i="72"/>
  <c r="AO29" i="72"/>
  <c r="M71" i="74"/>
  <c r="K15" i="67"/>
  <c r="M9" i="66"/>
  <c r="N8" i="66"/>
  <c r="K38" i="67"/>
  <c r="M77" i="74"/>
  <c r="N85" i="63"/>
  <c r="N87" i="63" s="1"/>
  <c r="M87" i="63"/>
  <c r="Q50" i="81" l="1"/>
  <c r="Q51" i="81" s="1"/>
  <c r="R50" i="81" s="1"/>
  <c r="R51" i="81" s="1"/>
  <c r="S50" i="81" s="1"/>
  <c r="S51" i="81" s="1"/>
  <c r="T50" i="81" s="1"/>
  <c r="T51" i="81" s="1"/>
  <c r="U51" i="81" s="1"/>
  <c r="U27" i="72"/>
  <c r="T35" i="72"/>
  <c r="K39" i="67"/>
  <c r="J80" i="74"/>
  <c r="K79" i="74"/>
  <c r="AO30" i="72"/>
  <c r="AP29" i="72"/>
  <c r="AH31" i="72"/>
  <c r="AH32" i="72" s="1"/>
  <c r="AI28" i="72"/>
  <c r="M78" i="74"/>
  <c r="K16" i="67"/>
  <c r="N9" i="66"/>
  <c r="L38" i="67"/>
  <c r="L39" i="67" s="1"/>
  <c r="L15" i="67"/>
  <c r="M110" i="63"/>
  <c r="N110" i="63"/>
  <c r="V27" i="72" l="1"/>
  <c r="U35" i="72"/>
  <c r="K80" i="74"/>
  <c r="L79" i="74"/>
  <c r="L80" i="74" s="1"/>
  <c r="AI31" i="72"/>
  <c r="AI32" i="72" s="1"/>
  <c r="AJ28" i="72"/>
  <c r="AP30" i="72"/>
  <c r="AQ29" i="72"/>
  <c r="L16" i="67"/>
  <c r="F22" i="67" l="1"/>
  <c r="F21" i="67"/>
  <c r="W27" i="72"/>
  <c r="V35" i="72"/>
  <c r="M79" i="74"/>
  <c r="M80" i="74" s="1"/>
  <c r="AQ30" i="72"/>
  <c r="AR29" i="72"/>
  <c r="AJ31" i="72"/>
  <c r="AJ32" i="72" s="1"/>
  <c r="AK28" i="72"/>
  <c r="X27" i="72" l="1"/>
  <c r="W35" i="72"/>
  <c r="AR30" i="72"/>
  <c r="AS30" i="72" s="1"/>
  <c r="C21" i="72" s="1"/>
  <c r="AK31" i="72"/>
  <c r="AK32" i="72" s="1"/>
  <c r="AL28" i="72"/>
  <c r="F45" i="67" l="1"/>
  <c r="H59" i="72"/>
  <c r="H63" i="72" s="1"/>
  <c r="I59" i="72"/>
  <c r="I63" i="72" s="1"/>
  <c r="J59" i="72"/>
  <c r="J63" i="72" s="1"/>
  <c r="K59" i="72"/>
  <c r="K63" i="72" s="1"/>
  <c r="L59" i="72"/>
  <c r="L63" i="72" s="1"/>
  <c r="D59" i="72"/>
  <c r="D63" i="72" s="1"/>
  <c r="E59" i="72"/>
  <c r="E63" i="72" s="1"/>
  <c r="F59" i="72"/>
  <c r="F63" i="72" s="1"/>
  <c r="G59" i="72"/>
  <c r="G63" i="72" s="1"/>
  <c r="C59" i="72"/>
  <c r="C63" i="72" s="1"/>
  <c r="C71" i="72" s="1"/>
  <c r="C73" i="72" s="1"/>
  <c r="Y27" i="72"/>
  <c r="Z27" i="72" s="1"/>
  <c r="AA27" i="72" s="1"/>
  <c r="AB27" i="72" s="1"/>
  <c r="AC27" i="72" s="1"/>
  <c r="AD27" i="72" s="1"/>
  <c r="AE27" i="72" s="1"/>
  <c r="AF27" i="72" s="1"/>
  <c r="AG27" i="72" s="1"/>
  <c r="AH27" i="72" s="1"/>
  <c r="AI27" i="72" s="1"/>
  <c r="AJ27" i="72" s="1"/>
  <c r="AK27" i="72" s="1"/>
  <c r="AL27" i="72" s="1"/>
  <c r="AM27" i="72" s="1"/>
  <c r="AN27" i="72" s="1"/>
  <c r="AO27" i="72" s="1"/>
  <c r="AP27" i="72" s="1"/>
  <c r="AQ27" i="72" s="1"/>
  <c r="AR27" i="72" s="1"/>
  <c r="X35" i="72"/>
  <c r="AL31" i="72"/>
  <c r="AL32" i="72" s="1"/>
  <c r="AM28" i="72"/>
  <c r="D71" i="72" l="1"/>
  <c r="D73" i="72" s="1"/>
  <c r="AM31" i="72"/>
  <c r="AM32" i="72" s="1"/>
  <c r="AN28" i="72"/>
  <c r="N96" i="63"/>
  <c r="N103" i="63" s="1"/>
  <c r="J104" i="69"/>
  <c r="I72" i="63" l="1"/>
  <c r="I81" i="63" s="1"/>
  <c r="I108" i="63"/>
  <c r="I111" i="63" s="1"/>
  <c r="I112" i="63" s="1"/>
  <c r="I115" i="63" s="1"/>
  <c r="I117" i="63" s="1"/>
  <c r="E71" i="72"/>
  <c r="E73" i="72" s="1"/>
  <c r="I84" i="74"/>
  <c r="I86" i="74"/>
  <c r="F23" i="67"/>
  <c r="AN31" i="72"/>
  <c r="AN32" i="72" s="1"/>
  <c r="AO28" i="72"/>
  <c r="K100" i="69"/>
  <c r="K104" i="69" s="1"/>
  <c r="I88" i="63" l="1"/>
  <c r="I90" i="63" s="1"/>
  <c r="J72" i="63"/>
  <c r="J81" i="63" s="1"/>
  <c r="J88" i="63" s="1"/>
  <c r="J108" i="63"/>
  <c r="J111" i="63" s="1"/>
  <c r="H28" i="64"/>
  <c r="F71" i="72"/>
  <c r="F73" i="72" s="1"/>
  <c r="I85" i="74"/>
  <c r="AO31" i="72"/>
  <c r="AO32" i="72" s="1"/>
  <c r="AP28" i="72"/>
  <c r="L105" i="63"/>
  <c r="L100" i="69"/>
  <c r="L104" i="69" s="1"/>
  <c r="F43" i="67" l="1"/>
  <c r="F44" i="67"/>
  <c r="J112" i="63"/>
  <c r="J115" i="63" s="1"/>
  <c r="J60" i="63" s="1"/>
  <c r="K108" i="63"/>
  <c r="K111" i="63" s="1"/>
  <c r="K112" i="63" s="1"/>
  <c r="K72" i="63"/>
  <c r="K81" i="63" s="1"/>
  <c r="K88" i="63" s="1"/>
  <c r="I28" i="64"/>
  <c r="G71" i="72"/>
  <c r="G73" i="72" s="1"/>
  <c r="AP31" i="72"/>
  <c r="AP32" i="72" s="1"/>
  <c r="AQ28" i="72"/>
  <c r="AR28" i="72" s="1"/>
  <c r="N105" i="63"/>
  <c r="L106" i="63"/>
  <c r="M105" i="63"/>
  <c r="F24" i="67" l="1" a="1"/>
  <c r="F24" i="67" s="1"/>
  <c r="J117" i="63"/>
  <c r="L108" i="63"/>
  <c r="L111" i="63" s="1"/>
  <c r="L112" i="63" s="1"/>
  <c r="L72" i="63"/>
  <c r="L81" i="63" s="1"/>
  <c r="L88" i="63" s="1"/>
  <c r="J28" i="64"/>
  <c r="H71" i="72"/>
  <c r="H73" i="72" s="1"/>
  <c r="AQ31" i="72"/>
  <c r="AQ32" i="72" s="1"/>
  <c r="AR31" i="72"/>
  <c r="M106" i="63"/>
  <c r="N106" i="63"/>
  <c r="K114" i="63" l="1"/>
  <c r="K115" i="63" s="1"/>
  <c r="J63" i="63"/>
  <c r="J64" i="63" s="1"/>
  <c r="M72" i="63"/>
  <c r="M81" i="63" s="1"/>
  <c r="M88" i="63" s="1"/>
  <c r="M108" i="63"/>
  <c r="M111" i="63" s="1"/>
  <c r="M112" i="63" s="1"/>
  <c r="K28" i="64"/>
  <c r="I71" i="72"/>
  <c r="I73" i="72" s="1"/>
  <c r="J71" i="72" s="1"/>
  <c r="J73" i="72" s="1"/>
  <c r="K71" i="72" s="1"/>
  <c r="K73" i="72" s="1"/>
  <c r="L71" i="72" s="1"/>
  <c r="L73" i="72" s="1"/>
  <c r="AS31" i="72"/>
  <c r="AR32" i="72"/>
  <c r="K60" i="63" l="1"/>
  <c r="K117" i="63" s="1"/>
  <c r="J90" i="63"/>
  <c r="H27" i="64"/>
  <c r="N72" i="63"/>
  <c r="N81" i="63" s="1"/>
  <c r="N88" i="63" s="1"/>
  <c r="N108" i="63"/>
  <c r="N111" i="63" s="1"/>
  <c r="N112" i="63" s="1"/>
  <c r="AS32" i="72"/>
  <c r="C22" i="72"/>
  <c r="C23" i="72" s="1"/>
  <c r="K63" i="63" l="1"/>
  <c r="K64" i="63" s="1"/>
  <c r="K90" i="63" s="1"/>
  <c r="L114" i="63"/>
  <c r="F46" i="67"/>
  <c r="L115" i="63" l="1"/>
  <c r="L60" i="63" s="1"/>
  <c r="I27" i="64"/>
  <c r="L117" i="63" l="1"/>
  <c r="M114" i="63"/>
  <c r="M115" i="63" s="1"/>
  <c r="M60" i="63" s="1"/>
  <c r="N114" i="63" s="1"/>
  <c r="N115" i="63" s="1"/>
  <c r="N60" i="63" s="1"/>
  <c r="L63" i="63"/>
  <c r="L64" i="63" s="1"/>
  <c r="J27" i="64" s="1"/>
  <c r="M117" i="63" l="1"/>
  <c r="M63" i="63"/>
  <c r="M64" i="63" s="1"/>
  <c r="M90" i="63" s="1"/>
  <c r="L90" i="63"/>
  <c r="N63" i="63"/>
  <c r="N64" i="63" s="1"/>
  <c r="N90" i="63" s="1"/>
  <c r="K27" i="64" l="1"/>
  <c r="N117" i="6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marek straka</author>
  </authors>
  <commentList>
    <comment ref="D28" authorId="0" shapeId="0" xr:uid="{9BD51048-AF6C-4AFC-9CB3-359C50BF4A89}">
      <text>
        <r>
          <rPr>
            <b/>
            <sz val="9"/>
            <color indexed="81"/>
            <rFont val="Segoe UI"/>
            <family val="2"/>
            <charset val="238"/>
          </rPr>
          <t xml:space="preserve">marek straka:
</t>
        </r>
        <r>
          <rPr>
            <sz val="9"/>
            <color indexed="81"/>
            <rFont val="Segoe UI"/>
            <family val="2"/>
            <charset val="238"/>
          </rPr>
          <t>Zahŕňa aj dotácie na ošetrovateľov</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marek straka</author>
  </authors>
  <commentList>
    <comment ref="K15" authorId="0" shapeId="0" xr:uid="{AC01DA2C-5BA0-4E7C-9A0B-758A86B5E515}">
      <text>
        <r>
          <rPr>
            <b/>
            <sz val="9"/>
            <color indexed="81"/>
            <rFont val="Segoe UI"/>
            <family val="2"/>
            <charset val="238"/>
          </rPr>
          <t>marek straka:</t>
        </r>
        <r>
          <rPr>
            <sz val="9"/>
            <color indexed="81"/>
            <rFont val="Segoe UI"/>
            <family val="2"/>
            <charset val="238"/>
          </rPr>
          <t xml:space="preserve">
Prestupný rok</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marek straka</author>
  </authors>
  <commentList>
    <comment ref="K15" authorId="0" shapeId="0" xr:uid="{F768178C-D26A-4605-BF46-365110B9FCDD}">
      <text>
        <r>
          <rPr>
            <b/>
            <sz val="9"/>
            <color indexed="81"/>
            <rFont val="Segoe UI"/>
            <family val="2"/>
            <charset val="238"/>
          </rPr>
          <t>marek straka:</t>
        </r>
        <r>
          <rPr>
            <sz val="9"/>
            <color indexed="81"/>
            <rFont val="Segoe UI"/>
            <family val="2"/>
            <charset val="238"/>
          </rPr>
          <t xml:space="preserve">
Prestupný rok</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marek straka</author>
  </authors>
  <commentList>
    <comment ref="K15" authorId="0" shapeId="0" xr:uid="{39EF0C4D-656D-43EE-BACF-70B5BA3C1D72}">
      <text>
        <r>
          <rPr>
            <b/>
            <sz val="9"/>
            <color indexed="81"/>
            <rFont val="Segoe UI"/>
            <family val="2"/>
            <charset val="238"/>
          </rPr>
          <t>marek straka:</t>
        </r>
        <r>
          <rPr>
            <sz val="9"/>
            <color indexed="81"/>
            <rFont val="Segoe UI"/>
            <family val="2"/>
            <charset val="238"/>
          </rPr>
          <t xml:space="preserve">
Prestupný rok</t>
        </r>
      </text>
    </comment>
    <comment ref="D16" authorId="0" shapeId="0" xr:uid="{A20408CF-C23F-4DB9-8042-C3A4C3D7E834}">
      <text>
        <r>
          <rPr>
            <b/>
            <sz val="9"/>
            <color indexed="81"/>
            <rFont val="Segoe UI"/>
            <family val="2"/>
            <charset val="238"/>
          </rPr>
          <t>marek straka:</t>
        </r>
        <r>
          <rPr>
            <sz val="9"/>
            <color indexed="81"/>
            <rFont val="Segoe UI"/>
            <family val="2"/>
            <charset val="238"/>
          </rPr>
          <t xml:space="preserve">
Mesiac začiatku spustenia prevádzky</t>
        </r>
      </text>
    </comment>
    <comment ref="B65" authorId="0" shapeId="0" xr:uid="{868CB16C-BBDF-4112-B774-AE7B81A6DD8D}">
      <text>
        <r>
          <rPr>
            <b/>
            <sz val="9"/>
            <color indexed="81"/>
            <rFont val="Segoe UI"/>
            <family val="2"/>
            <charset val="238"/>
          </rPr>
          <t>marek straka:</t>
        </r>
        <r>
          <rPr>
            <sz val="9"/>
            <color indexed="81"/>
            <rFont val="Segoe UI"/>
            <family val="2"/>
            <charset val="238"/>
          </rPr>
          <t xml:space="preserve">
Odporúčanie podľa Z.z.448/2008</t>
        </r>
      </text>
    </comment>
    <comment ref="B75" authorId="0" shapeId="0" xr:uid="{01ED2383-0301-46AF-AD47-2B7EC3A668ED}">
      <text>
        <r>
          <rPr>
            <b/>
            <sz val="9"/>
            <color indexed="81"/>
            <rFont val="Segoe UI"/>
            <family val="2"/>
            <charset val="238"/>
          </rPr>
          <t>marek straka:</t>
        </r>
        <r>
          <rPr>
            <sz val="9"/>
            <color indexed="81"/>
            <rFont val="Segoe UI"/>
            <family val="2"/>
            <charset val="238"/>
          </rPr>
          <t xml:space="preserve">
Odporúčanie podľa Z.z.448/2008</t>
        </r>
      </text>
    </comment>
    <comment ref="D165" authorId="0" shapeId="0" xr:uid="{683DA126-E6AE-4976-9FF1-D51FC3F50001}">
      <text>
        <r>
          <rPr>
            <b/>
            <sz val="9"/>
            <color indexed="81"/>
            <rFont val="Segoe UI"/>
            <family val="2"/>
            <charset val="238"/>
          </rPr>
          <t>marek straka:</t>
        </r>
        <r>
          <rPr>
            <sz val="9"/>
            <color indexed="81"/>
            <rFont val="Segoe UI"/>
            <family val="2"/>
            <charset val="238"/>
          </rPr>
          <t xml:space="preserve">
Dotácie podľa stupňa odkázanosti
https://www.employment.gov.sk/sk/rodina-socialna-pomoc/socialne-sluzby/poskytovanie-financnych-prispevkov/</t>
        </r>
      </text>
    </comment>
    <comment ref="D179" authorId="0" shapeId="0" xr:uid="{A4746E91-544E-4F12-BDB5-AB1A64180590}">
      <text>
        <r>
          <rPr>
            <b/>
            <sz val="9"/>
            <color indexed="81"/>
            <rFont val="Segoe UI"/>
            <family val="2"/>
            <charset val="238"/>
          </rPr>
          <t>marek straka:</t>
        </r>
        <r>
          <rPr>
            <sz val="9"/>
            <color indexed="81"/>
            <rFont val="Segoe UI"/>
            <family val="2"/>
            <charset val="238"/>
          </rPr>
          <t xml:space="preserve">
Lekár a psychiater</t>
        </r>
      </text>
    </comment>
    <comment ref="H222" authorId="0" shapeId="0" xr:uid="{C23657F4-B81F-46F0-AEF2-9E1A769B4E7D}">
      <text>
        <r>
          <rPr>
            <b/>
            <sz val="9"/>
            <color indexed="81"/>
            <rFont val="Segoe UI"/>
            <family val="2"/>
            <charset val="238"/>
          </rPr>
          <t>marek straka:</t>
        </r>
        <r>
          <rPr>
            <sz val="9"/>
            <color indexed="81"/>
            <rFont val="Segoe UI"/>
            <family val="2"/>
            <charset val="238"/>
          </rPr>
          <t xml:space="preserve">
Iba 4 mesiace na odpisovanie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<sst xmlns="http://schemas.openxmlformats.org/spreadsheetml/2006/main" count="3154" uniqueCount="1633">
  <si>
    <t>M</t>
  </si>
  <si>
    <t>EBITDA</t>
  </si>
  <si>
    <t>Income tax</t>
  </si>
  <si>
    <t>Balance Sheet</t>
  </si>
  <si>
    <t>Property, Plant &amp; Equipment</t>
  </si>
  <si>
    <t>Intangible assets</t>
  </si>
  <si>
    <t>Financial assets</t>
  </si>
  <si>
    <t>Inventory</t>
  </si>
  <si>
    <t>Trade receivables</t>
  </si>
  <si>
    <t>Cash</t>
  </si>
  <si>
    <t>Equity</t>
  </si>
  <si>
    <t>Share capital</t>
  </si>
  <si>
    <t>Capital funds</t>
  </si>
  <si>
    <t>Retained earnings</t>
  </si>
  <si>
    <t>Reserves</t>
  </si>
  <si>
    <t>86a</t>
  </si>
  <si>
    <t>86b</t>
  </si>
  <si>
    <t>Accruals</t>
  </si>
  <si>
    <t>Mapping</t>
  </si>
  <si>
    <t>Revenues</t>
  </si>
  <si>
    <t>Revenues from goods</t>
  </si>
  <si>
    <t>Revenues from products/services</t>
  </si>
  <si>
    <t>Direct Expenses</t>
  </si>
  <si>
    <t>Cost of goods sold</t>
  </si>
  <si>
    <t>Gross Profit</t>
  </si>
  <si>
    <t>Cost of services</t>
  </si>
  <si>
    <t>Capitalized expenses</t>
  </si>
  <si>
    <t>Personal costs</t>
  </si>
  <si>
    <t>Taxes and fees</t>
  </si>
  <si>
    <t>Other revenues/expenses for operating purposes</t>
  </si>
  <si>
    <t>Financial assets - net</t>
  </si>
  <si>
    <t>Depreciation</t>
  </si>
  <si>
    <t>EBIT</t>
  </si>
  <si>
    <t>Interest Profit/Loss - net</t>
  </si>
  <si>
    <t>Extraordinary</t>
  </si>
  <si>
    <t>EBT</t>
  </si>
  <si>
    <t>Non-current assets</t>
  </si>
  <si>
    <t>TOTAL ASSETS</t>
  </si>
  <si>
    <t>Trade Payables</t>
  </si>
  <si>
    <t>IC payables</t>
  </si>
  <si>
    <t>Other Payables</t>
  </si>
  <si>
    <t>€</t>
  </si>
  <si>
    <t>Long</t>
  </si>
  <si>
    <t xml:space="preserve">Income Statement </t>
  </si>
  <si>
    <t>Výkaz ziskov a strát</t>
  </si>
  <si>
    <t>Tržby</t>
  </si>
  <si>
    <t>Tržby za tovar</t>
  </si>
  <si>
    <t>Tržby za vlastné výrobky a služby</t>
  </si>
  <si>
    <t>Priame náklady</t>
  </si>
  <si>
    <t>Náklady vynaložené na obstaranie predaného tovaru</t>
  </si>
  <si>
    <t>Consumption of material, energy and other non-storable supplies</t>
  </si>
  <si>
    <t>Spotreba materiálu, energie a ostatných neskladovateľný dodávok</t>
  </si>
  <si>
    <t>Nepriame náklady</t>
  </si>
  <si>
    <t>Služby</t>
  </si>
  <si>
    <t>Zmena stavu zásob</t>
  </si>
  <si>
    <t xml:space="preserve"> - Change</t>
  </si>
  <si>
    <t xml:space="preserve"> - zmena stavu</t>
  </si>
  <si>
    <t xml:space="preserve"> - Capitalization</t>
  </si>
  <si>
    <t xml:space="preserve"> - aktivácia prác</t>
  </si>
  <si>
    <t>Osobné náklady</t>
  </si>
  <si>
    <t>salaries</t>
  </si>
  <si>
    <t xml:space="preserve">mzdy </t>
  </si>
  <si>
    <t>social security cost</t>
  </si>
  <si>
    <t>náklady na sociálne poistenie</t>
  </si>
  <si>
    <t>social cost</t>
  </si>
  <si>
    <t>sociálne náklady</t>
  </si>
  <si>
    <t>income from associates and inside business</t>
  </si>
  <si>
    <t>odmeny člonom orgánov spoločnosti a držstva</t>
  </si>
  <si>
    <t>Dane a poplatky</t>
  </si>
  <si>
    <t>Ostatné výnosy/náklady na hosp.činnosť</t>
  </si>
  <si>
    <t>revenues</t>
  </si>
  <si>
    <t>výnosy</t>
  </si>
  <si>
    <t xml:space="preserve">expenses </t>
  </si>
  <si>
    <t>náklady</t>
  </si>
  <si>
    <t>Net book value of fixed assets and inventory</t>
  </si>
  <si>
    <t>Zostatková cena predaného dlhodobého majetku a materiálu</t>
  </si>
  <si>
    <t>Long-term financial asset</t>
  </si>
  <si>
    <t>Výnosy z dlhodobého finančného majetku</t>
  </si>
  <si>
    <t>Krátkodobý finančný majetok</t>
  </si>
  <si>
    <t>Odpisy</t>
  </si>
  <si>
    <t>Úrokové výnosy/náklady - netto</t>
  </si>
  <si>
    <t>Profit</t>
  </si>
  <si>
    <t>Loss</t>
  </si>
  <si>
    <t>Strata</t>
  </si>
  <si>
    <t>Other Financial Profit/Loss - net</t>
  </si>
  <si>
    <t>Ostatné finančné výnosy/náklady - netto</t>
  </si>
  <si>
    <t>Exchange rates</t>
  </si>
  <si>
    <t>Kurzy</t>
  </si>
  <si>
    <t xml:space="preserve"> paid</t>
  </si>
  <si>
    <t xml:space="preserve"> deferred</t>
  </si>
  <si>
    <t>odložená</t>
  </si>
  <si>
    <t>EAT/Net Income</t>
  </si>
  <si>
    <t>EAT</t>
  </si>
  <si>
    <t>Súvaha</t>
  </si>
  <si>
    <t>Dlhodobý hmotný majetok</t>
  </si>
  <si>
    <t>Lands</t>
  </si>
  <si>
    <t>Pozemky</t>
  </si>
  <si>
    <t>Constructions</t>
  </si>
  <si>
    <t>Stavby</t>
  </si>
  <si>
    <t>Equipment</t>
  </si>
  <si>
    <t>Samostatné hnuteľné veci a súbory hnuteľných vecí</t>
  </si>
  <si>
    <t>Advance payment</t>
  </si>
  <si>
    <t>Preddavky</t>
  </si>
  <si>
    <t>Others</t>
  </si>
  <si>
    <t>Ostatný DHM</t>
  </si>
  <si>
    <t>Intangible Assets</t>
  </si>
  <si>
    <t>Dlhodobý nehmotný majetok</t>
  </si>
  <si>
    <t>Software</t>
  </si>
  <si>
    <t>Valuable rights</t>
  </si>
  <si>
    <t>Oceniteľné práva</t>
  </si>
  <si>
    <t>Goodwill</t>
  </si>
  <si>
    <t>Finančný majetok</t>
  </si>
  <si>
    <t>Deferred Tax Assets</t>
  </si>
  <si>
    <t>Odložená daň</t>
  </si>
  <si>
    <t>Current assets</t>
  </si>
  <si>
    <t>Obežný majetok</t>
  </si>
  <si>
    <t>Zásoby</t>
  </si>
  <si>
    <t>Trade receivables - LT</t>
  </si>
  <si>
    <t>Dlhodobé pohľadávky</t>
  </si>
  <si>
    <t>Trade receivables - ST</t>
  </si>
  <si>
    <t>Krátkodobé pohľadávky</t>
  </si>
  <si>
    <t>Other Receivables</t>
  </si>
  <si>
    <t>Ostatné dlhodobé/krátkodobé pohľadávky</t>
  </si>
  <si>
    <t>Current financial assets</t>
  </si>
  <si>
    <t>Cash and Bank Accounts</t>
  </si>
  <si>
    <t>Peniaze a účty v bankách</t>
  </si>
  <si>
    <t>Časové rozlíšenie</t>
  </si>
  <si>
    <t>AKTÍVA SPOLU</t>
  </si>
  <si>
    <t>Vlastné imanie</t>
  </si>
  <si>
    <t>Registered capital</t>
  </si>
  <si>
    <t>Základné imanie</t>
  </si>
  <si>
    <t>Retained earnings from previous years</t>
  </si>
  <si>
    <t>Nerozdelený zisk</t>
  </si>
  <si>
    <t>Profit / loss - current year</t>
  </si>
  <si>
    <t>Výsledok v roku</t>
  </si>
  <si>
    <t>Deferred Tax Liability</t>
  </si>
  <si>
    <t>Non-current liabilities</t>
  </si>
  <si>
    <t>Krátkodobé záväzky</t>
  </si>
  <si>
    <t>Obchodné záväzky</t>
  </si>
  <si>
    <t>87a</t>
  </si>
  <si>
    <t>IC záväzky</t>
  </si>
  <si>
    <t>88a</t>
  </si>
  <si>
    <t>Ostatné záväzky</t>
  </si>
  <si>
    <t>85a</t>
  </si>
  <si>
    <t>Current liabilities</t>
  </si>
  <si>
    <t>87b</t>
  </si>
  <si>
    <t>88b</t>
  </si>
  <si>
    <t>Employees and other related</t>
  </si>
  <si>
    <t>Zamestnanci a s nimi súvisiace veci</t>
  </si>
  <si>
    <t>85b</t>
  </si>
  <si>
    <t>Loans</t>
  </si>
  <si>
    <t>MOA check aktiva</t>
  </si>
  <si>
    <t>MOA check pasiva</t>
  </si>
  <si>
    <t>MOA check Dlhodobý hmotný majetok</t>
  </si>
  <si>
    <t>MOA check Dlhodobý nehmotný majetok</t>
  </si>
  <si>
    <t>MOA check Finančný majetok</t>
  </si>
  <si>
    <t>MOA check Obežný majetok</t>
  </si>
  <si>
    <t>MOA check Peniaze a účty v bankách</t>
  </si>
  <si>
    <t>MOA check Časové rozlíšenie</t>
  </si>
  <si>
    <t/>
  </si>
  <si>
    <t>Summary</t>
  </si>
  <si>
    <t>Zdroj dát</t>
  </si>
  <si>
    <t>Aktíva</t>
  </si>
  <si>
    <t>Číslo</t>
  </si>
  <si>
    <t>Spolu majetok [002+030+061]</t>
  </si>
  <si>
    <t>1</t>
  </si>
  <si>
    <t>A</t>
  </si>
  <si>
    <t>Neobežný majetok [003+011+021]</t>
  </si>
  <si>
    <t>2</t>
  </si>
  <si>
    <t>A.I.</t>
  </si>
  <si>
    <t>Dlhodobý nehmotný majetok súčet [004+..+010]</t>
  </si>
  <si>
    <t>3</t>
  </si>
  <si>
    <t>A.I.1</t>
  </si>
  <si>
    <t>Aktivované náklady</t>
  </si>
  <si>
    <t>4</t>
  </si>
  <si>
    <t>A.I.2</t>
  </si>
  <si>
    <t>5</t>
  </si>
  <si>
    <t>A.I.3</t>
  </si>
  <si>
    <t>6</t>
  </si>
  <si>
    <t>A.I.4</t>
  </si>
  <si>
    <t>7</t>
  </si>
  <si>
    <t>A.I.5</t>
  </si>
  <si>
    <t>Ostatný dlhodobý nehmotný majetok</t>
  </si>
  <si>
    <t>8</t>
  </si>
  <si>
    <t>A.I.6</t>
  </si>
  <si>
    <t>Obstarávaný dlhodobý nehmotný majetok</t>
  </si>
  <si>
    <t>9</t>
  </si>
  <si>
    <t>A.I.7</t>
  </si>
  <si>
    <t>Poskytnuté preddavky na dlhodobý nehmotný majetok</t>
  </si>
  <si>
    <t>10</t>
  </si>
  <si>
    <t>A.II.</t>
  </si>
  <si>
    <t>Dlhodobý hmotný majetok súčet [012+..+020]</t>
  </si>
  <si>
    <t>11</t>
  </si>
  <si>
    <t>A.II.1</t>
  </si>
  <si>
    <t>12</t>
  </si>
  <si>
    <t>A.II.2</t>
  </si>
  <si>
    <t>13</t>
  </si>
  <si>
    <t>A.II.3</t>
  </si>
  <si>
    <t>14</t>
  </si>
  <si>
    <t>A.II.4</t>
  </si>
  <si>
    <t>Pestovateľské celky trvalých porastov</t>
  </si>
  <si>
    <t>15</t>
  </si>
  <si>
    <t>A.II.5</t>
  </si>
  <si>
    <t>Základné stádo a ťažné zvieratá</t>
  </si>
  <si>
    <t>16</t>
  </si>
  <si>
    <t>A.II.6</t>
  </si>
  <si>
    <t>Ostatný dlhodobý hmotný majetok</t>
  </si>
  <si>
    <t>17</t>
  </si>
  <si>
    <t>A.II.7</t>
  </si>
  <si>
    <t>Obstarávaný dlhodobý hmotný majetok</t>
  </si>
  <si>
    <t>18</t>
  </si>
  <si>
    <t>A.II.8</t>
  </si>
  <si>
    <t>Poskytnuté preddavky na dlhodobý hmotný majetok</t>
  </si>
  <si>
    <t>19</t>
  </si>
  <si>
    <t>A.II.9</t>
  </si>
  <si>
    <t>Opravná položka k nadobudnutému majetku</t>
  </si>
  <si>
    <t>20</t>
  </si>
  <si>
    <t>A.III.</t>
  </si>
  <si>
    <t>Dlhodobý finančný majetok súčet [022+..+029]</t>
  </si>
  <si>
    <t>21</t>
  </si>
  <si>
    <t>A.III.1</t>
  </si>
  <si>
    <t>Podielové cenné papiere a podiely v dcerskej účovnej jednotke</t>
  </si>
  <si>
    <t>22</t>
  </si>
  <si>
    <t>A.III.2</t>
  </si>
  <si>
    <t>Podielové cenné papiere a podiely v spoločnosti s podstatným vplyvom</t>
  </si>
  <si>
    <t>23</t>
  </si>
  <si>
    <t>A.III.3</t>
  </si>
  <si>
    <t>Ostatné dlhodobé cenné papiere a podiely</t>
  </si>
  <si>
    <t>24</t>
  </si>
  <si>
    <t>A.III.4</t>
  </si>
  <si>
    <t>Pôžičky v účtovnej jednotke v konsolidovanom celku</t>
  </si>
  <si>
    <t>25</t>
  </si>
  <si>
    <t>A.III.5</t>
  </si>
  <si>
    <t>Ostatný dlhodobý finančný majetok</t>
  </si>
  <si>
    <t>26</t>
  </si>
  <si>
    <t>A.III.6</t>
  </si>
  <si>
    <t>Pôžičky s dobou splatnosti najviac jeden rok</t>
  </si>
  <si>
    <t>27</t>
  </si>
  <si>
    <t>A.III.7</t>
  </si>
  <si>
    <t>Obstarávaný dlhodobý finančný majetok</t>
  </si>
  <si>
    <t>28</t>
  </si>
  <si>
    <t>A.III.8</t>
  </si>
  <si>
    <t>Poskytnuté preddavky na dlhodobý finančný majetok</t>
  </si>
  <si>
    <t>29</t>
  </si>
  <si>
    <t>B</t>
  </si>
  <si>
    <t>Obežný majetok [031+038+046+055]</t>
  </si>
  <si>
    <t>30</t>
  </si>
  <si>
    <t>B.I.</t>
  </si>
  <si>
    <t>Zásoby súčet [032+..+037]</t>
  </si>
  <si>
    <t>31</t>
  </si>
  <si>
    <t>B.I.1</t>
  </si>
  <si>
    <t>Materiál</t>
  </si>
  <si>
    <t>32</t>
  </si>
  <si>
    <t>B.I.2</t>
  </si>
  <si>
    <t>Nedokončená výroba a polotovary vlastnej výroby</t>
  </si>
  <si>
    <t>33</t>
  </si>
  <si>
    <t>B.I.3</t>
  </si>
  <si>
    <t>Výrobky</t>
  </si>
  <si>
    <t>34</t>
  </si>
  <si>
    <t>B.I.4</t>
  </si>
  <si>
    <t>Zvieratá</t>
  </si>
  <si>
    <t>35</t>
  </si>
  <si>
    <t>B.I.5</t>
  </si>
  <si>
    <t>Tovar</t>
  </si>
  <si>
    <t>36</t>
  </si>
  <si>
    <t>B.I.6</t>
  </si>
  <si>
    <t>Poskytnuté preddavky na zásoby</t>
  </si>
  <si>
    <t>37</t>
  </si>
  <si>
    <t>B.II.</t>
  </si>
  <si>
    <t>Dlhodobé pohľadávky súčet [039+..+045]</t>
  </si>
  <si>
    <t>38</t>
  </si>
  <si>
    <t>B.II.1</t>
  </si>
  <si>
    <t>Pohľadávky z obchodného styku</t>
  </si>
  <si>
    <t>39</t>
  </si>
  <si>
    <t>B.II.2</t>
  </si>
  <si>
    <t>Čistá hodnota zákazky</t>
  </si>
  <si>
    <t>40</t>
  </si>
  <si>
    <t>B.II.3</t>
  </si>
  <si>
    <t>Pohľadávky voči dcérskej účtovnej jednotke a materskej účtovnej jednotke</t>
  </si>
  <si>
    <t>41</t>
  </si>
  <si>
    <t>B.II.4</t>
  </si>
  <si>
    <t>Ostatné pohľadávky v rámci konsolidovaného celku</t>
  </si>
  <si>
    <t>42</t>
  </si>
  <si>
    <t>B.II.5</t>
  </si>
  <si>
    <t>Pohľadávky voči spoločníkom, členom a združeniu</t>
  </si>
  <si>
    <t>43</t>
  </si>
  <si>
    <t>B.II.6</t>
  </si>
  <si>
    <t>Iné pohľadávky</t>
  </si>
  <si>
    <t>44</t>
  </si>
  <si>
    <t>B.II.7</t>
  </si>
  <si>
    <t>Odložená daňová pohľadávka</t>
  </si>
  <si>
    <t>45</t>
  </si>
  <si>
    <t>B.III.</t>
  </si>
  <si>
    <t>Krátkodobé pohľadávky súčet [047+..+054]</t>
  </si>
  <si>
    <t>46</t>
  </si>
  <si>
    <t>B.III.1</t>
  </si>
  <si>
    <t>47</t>
  </si>
  <si>
    <t>B.III.2</t>
  </si>
  <si>
    <t>48</t>
  </si>
  <si>
    <t>B.III.3</t>
  </si>
  <si>
    <t>Pohľadávky voči dcérskej účtovnej jednotke a meterskej účtovnej jednotke</t>
  </si>
  <si>
    <t>49</t>
  </si>
  <si>
    <t>B.III.4</t>
  </si>
  <si>
    <t>50</t>
  </si>
  <si>
    <t>B.III.5</t>
  </si>
  <si>
    <t>51</t>
  </si>
  <si>
    <t>B.III.6</t>
  </si>
  <si>
    <t>Sociálne poistenie</t>
  </si>
  <si>
    <t>52</t>
  </si>
  <si>
    <t>B.III.7</t>
  </si>
  <si>
    <t>Daňové pohľadávky a dotácie</t>
  </si>
  <si>
    <t>53</t>
  </si>
  <si>
    <t>B.III.8</t>
  </si>
  <si>
    <t>54</t>
  </si>
  <si>
    <t>B.IV.</t>
  </si>
  <si>
    <t>Finančné účty súčet [056+..+060]</t>
  </si>
  <si>
    <t>55</t>
  </si>
  <si>
    <t>B.IV.1</t>
  </si>
  <si>
    <t>Peniaze</t>
  </si>
  <si>
    <t>56</t>
  </si>
  <si>
    <t>B.IV.2</t>
  </si>
  <si>
    <t>Účty v bankách</t>
  </si>
  <si>
    <t>57</t>
  </si>
  <si>
    <t>B.IV.3</t>
  </si>
  <si>
    <t>Účty v bankách s dobou viazanosti dlhšou ako jeden rok</t>
  </si>
  <si>
    <t>58</t>
  </si>
  <si>
    <t>B.IV.4</t>
  </si>
  <si>
    <t>59</t>
  </si>
  <si>
    <t>B.IV.5</t>
  </si>
  <si>
    <t>Obstarávaný krátkodobý finančný majetok</t>
  </si>
  <si>
    <t>60</t>
  </si>
  <si>
    <t>C</t>
  </si>
  <si>
    <t>Časové rozlíšenie súčet [062+..+065]</t>
  </si>
  <si>
    <t>61</t>
  </si>
  <si>
    <t>C.1</t>
  </si>
  <si>
    <t>Náklady budúcich období dlhodobé</t>
  </si>
  <si>
    <t>62</t>
  </si>
  <si>
    <t>C.2</t>
  </si>
  <si>
    <t>Náklady budúcich období krátkodobé</t>
  </si>
  <si>
    <t>63</t>
  </si>
  <si>
    <t>C.3</t>
  </si>
  <si>
    <t>Príjmy budúcich období dlhodobé</t>
  </si>
  <si>
    <t>64</t>
  </si>
  <si>
    <t>C.4</t>
  </si>
  <si>
    <t>Príjmy budúcich období krátkodobé</t>
  </si>
  <si>
    <t>65</t>
  </si>
  <si>
    <t>MOA</t>
  </si>
  <si>
    <t>diff</t>
  </si>
  <si>
    <t>Pasíva</t>
  </si>
  <si>
    <t>Spolu vlastné imanie a záväzky [067+088+121]</t>
  </si>
  <si>
    <t>66</t>
  </si>
  <si>
    <t>Vlastné imanie [068+073+080+084+087]</t>
  </si>
  <si>
    <t>67</t>
  </si>
  <si>
    <t>A.I</t>
  </si>
  <si>
    <t>Základné imanie súčet [069+..+072]</t>
  </si>
  <si>
    <t>68</t>
  </si>
  <si>
    <t>69</t>
  </si>
  <si>
    <t>Vlastné akcie a vlastné obchodné podiely</t>
  </si>
  <si>
    <t>70</t>
  </si>
  <si>
    <t>Zmena základného imania</t>
  </si>
  <si>
    <t>71</t>
  </si>
  <si>
    <t>Pohľadávky za upísané vlastné imanie</t>
  </si>
  <si>
    <t>72</t>
  </si>
  <si>
    <t>A.II</t>
  </si>
  <si>
    <t>Kapitálové fondy súčet [074+..+079]</t>
  </si>
  <si>
    <t>73</t>
  </si>
  <si>
    <t>Emisné ážio</t>
  </si>
  <si>
    <t>74</t>
  </si>
  <si>
    <t>Ostatné kapitálové fondy</t>
  </si>
  <si>
    <t>75</t>
  </si>
  <si>
    <t>Zákonný rezervný fond (Nedeliteľný fond) z kapitálových vkladov</t>
  </si>
  <si>
    <t>76</t>
  </si>
  <si>
    <t>Oceňovacie rozdiely z precenenia majetku a záväzkov</t>
  </si>
  <si>
    <t>77</t>
  </si>
  <si>
    <t>Oceňovacie rozdiely z kapitálových účastín</t>
  </si>
  <si>
    <t>78</t>
  </si>
  <si>
    <t>Oceňovacie rozdiely z precenenia pri zlúčení, splynutí a rozdelení</t>
  </si>
  <si>
    <t>79</t>
  </si>
  <si>
    <t>A.III</t>
  </si>
  <si>
    <t>Fondy zo zisku súčet [081+082+083]</t>
  </si>
  <si>
    <t>80</t>
  </si>
  <si>
    <t>Zákonný rezervný fond</t>
  </si>
  <si>
    <t>81</t>
  </si>
  <si>
    <t>Nedeliteľný fond</t>
  </si>
  <si>
    <t>82</t>
  </si>
  <si>
    <t>Štatutárne fondy a ostatné fondy</t>
  </si>
  <si>
    <t>83</t>
  </si>
  <si>
    <t>A.IV</t>
  </si>
  <si>
    <t>Výsledok hospodárenia minulých rokov [085+086]</t>
  </si>
  <si>
    <t>84</t>
  </si>
  <si>
    <t>A.IV.1</t>
  </si>
  <si>
    <t>Nerozdelený zisk z minulých rokov</t>
  </si>
  <si>
    <t>85</t>
  </si>
  <si>
    <t>A.IV.2</t>
  </si>
  <si>
    <t>Neuhradená strata minulých rokov</t>
  </si>
  <si>
    <t>86</t>
  </si>
  <si>
    <t>A.V</t>
  </si>
  <si>
    <t>Výsledok hospodárenia za účtovné obdobie po zdanení [001-(068+073+080+084+088+121)]</t>
  </si>
  <si>
    <t>87</t>
  </si>
  <si>
    <t>Záväzky [089+094+106+117+118]</t>
  </si>
  <si>
    <t>88</t>
  </si>
  <si>
    <t>B.I</t>
  </si>
  <si>
    <t>Rezervy súčet [090+..+093]</t>
  </si>
  <si>
    <t>89</t>
  </si>
  <si>
    <t>Rezervy zákonné dlhdobé</t>
  </si>
  <si>
    <t>90</t>
  </si>
  <si>
    <t>Rezervy zákonné krátkodobé</t>
  </si>
  <si>
    <t>91</t>
  </si>
  <si>
    <t>Ostatné dlhodobé rezervy</t>
  </si>
  <si>
    <t>92</t>
  </si>
  <si>
    <t>Ostatné krátkodobé rezervy</t>
  </si>
  <si>
    <t>93</t>
  </si>
  <si>
    <t>B.II</t>
  </si>
  <si>
    <t>Dlhodobé záväzky súčet [95+..+105]</t>
  </si>
  <si>
    <t>94</t>
  </si>
  <si>
    <t>Dlhodobé záväzky z obchodného styku</t>
  </si>
  <si>
    <t>95</t>
  </si>
  <si>
    <t>96</t>
  </si>
  <si>
    <t>Dlhodobé nevyfakturované dodávky</t>
  </si>
  <si>
    <t>97</t>
  </si>
  <si>
    <t>Dlhodobé záväzky voči dcérskej účtovnéj jednotke a materskej účtovnej jednotke</t>
  </si>
  <si>
    <t>98</t>
  </si>
  <si>
    <t>Ostatné dlhodobé záväzky v rámci konsolidovaného celku</t>
  </si>
  <si>
    <t>99</t>
  </si>
  <si>
    <t>Dlhodobé prijaté preddavky</t>
  </si>
  <si>
    <t>100</t>
  </si>
  <si>
    <t>Dlhodobé zmenky na úhradu</t>
  </si>
  <si>
    <t>101</t>
  </si>
  <si>
    <t>B.II.8</t>
  </si>
  <si>
    <t>Vydané dlhopisy</t>
  </si>
  <si>
    <t>102</t>
  </si>
  <si>
    <t>B.II.9</t>
  </si>
  <si>
    <t>Záväzky zo sociálneho fondu</t>
  </si>
  <si>
    <t>103</t>
  </si>
  <si>
    <t>B.II.10</t>
  </si>
  <si>
    <t>Ostatné dlhodobé záväzky</t>
  </si>
  <si>
    <t>104</t>
  </si>
  <si>
    <t>B.II.11</t>
  </si>
  <si>
    <t>Odložený daňový záväzok</t>
  </si>
  <si>
    <t>105</t>
  </si>
  <si>
    <t>B.III</t>
  </si>
  <si>
    <t>Krátkodobé záväzky súčet [107+..+116]</t>
  </si>
  <si>
    <t>106</t>
  </si>
  <si>
    <t>Záväzky z obchodného styku</t>
  </si>
  <si>
    <t>107</t>
  </si>
  <si>
    <t>108</t>
  </si>
  <si>
    <t>Nevyfakturované dodávky</t>
  </si>
  <si>
    <t>109</t>
  </si>
  <si>
    <t>Záväzky voči dcérskej účtovnej jednotke a materskej účtovnej jednotke</t>
  </si>
  <si>
    <t>110</t>
  </si>
  <si>
    <t>Ostatné záväzky v rámci konsolidovaného celku</t>
  </si>
  <si>
    <t>111</t>
  </si>
  <si>
    <t>Záväzky voči spoločníkom a združeniu</t>
  </si>
  <si>
    <t>112</t>
  </si>
  <si>
    <t>Záväzky voči zamestnancom</t>
  </si>
  <si>
    <t>113</t>
  </si>
  <si>
    <t>Záväzky zo sociálneho poistenia</t>
  </si>
  <si>
    <t>114</t>
  </si>
  <si>
    <t>B.III.9</t>
  </si>
  <si>
    <t>Daňové záväzky a dotácie</t>
  </si>
  <si>
    <t>115</t>
  </si>
  <si>
    <t>B.III.10</t>
  </si>
  <si>
    <t>116</t>
  </si>
  <si>
    <t>B.IV</t>
  </si>
  <si>
    <t>Krátkodobé finančné výpomoci</t>
  </si>
  <si>
    <t>117</t>
  </si>
  <si>
    <t>B.V</t>
  </si>
  <si>
    <t>Bankové úvery [119+120]</t>
  </si>
  <si>
    <t>118</t>
  </si>
  <si>
    <t>B.V.1</t>
  </si>
  <si>
    <t>Bankové úvery dlhodobé</t>
  </si>
  <si>
    <t>119</t>
  </si>
  <si>
    <t>Bežné bankové úvery</t>
  </si>
  <si>
    <t>120</t>
  </si>
  <si>
    <t>Časové rozlíšenie súčet [122+..+125]</t>
  </si>
  <si>
    <t>121</t>
  </si>
  <si>
    <t>Výdavky budúcich období dlhodobé</t>
  </si>
  <si>
    <t>122</t>
  </si>
  <si>
    <t>Výdavky budúcich období krátkodobé</t>
  </si>
  <si>
    <t>123</t>
  </si>
  <si>
    <t>Výnosy budúcich období dlhodobé</t>
  </si>
  <si>
    <t>124</t>
  </si>
  <si>
    <t>Výnosy budúcich období krátkodobé</t>
  </si>
  <si>
    <t>125</t>
  </si>
  <si>
    <t>naklady, opacne znamienko</t>
  </si>
  <si>
    <t>vynosy</t>
  </si>
  <si>
    <t xml:space="preserve"> I.</t>
  </si>
  <si>
    <t>Tržby z predaja tovaru</t>
  </si>
  <si>
    <t>+</t>
  </si>
  <si>
    <t>Obchodná marža [01-02]</t>
  </si>
  <si>
    <t xml:space="preserve"> II.</t>
  </si>
  <si>
    <t>Výroba [05+06+07]</t>
  </si>
  <si>
    <t xml:space="preserve"> II.1</t>
  </si>
  <si>
    <t>Tržby z predaja vlastných výrobkov a služieb</t>
  </si>
  <si>
    <t xml:space="preserve"> II.2</t>
  </si>
  <si>
    <t>Zmeny stavu vnútroorganizačných zásob</t>
  </si>
  <si>
    <t xml:space="preserve"> II.3</t>
  </si>
  <si>
    <t>Aktivácia</t>
  </si>
  <si>
    <t>Výrobná spotreba [09+10]</t>
  </si>
  <si>
    <t>B.1</t>
  </si>
  <si>
    <t>B.2</t>
  </si>
  <si>
    <t>Pridaná hodnota [03+04-08]</t>
  </si>
  <si>
    <t>Osobné náklady súčet [13+..+16]</t>
  </si>
  <si>
    <t>Mzdové náklady</t>
  </si>
  <si>
    <t>Odmeny členom orgánov spoločnosti a družstva</t>
  </si>
  <si>
    <t>Náklady na sociálne poistenie</t>
  </si>
  <si>
    <t>Sociálne náklady</t>
  </si>
  <si>
    <t>D</t>
  </si>
  <si>
    <t>E</t>
  </si>
  <si>
    <t>Odpisy a opravné položky k dlhodobému nehmotnému majetku a dlhodobému hmotnému majetku</t>
  </si>
  <si>
    <t xml:space="preserve"> III.</t>
  </si>
  <si>
    <t>Tržby z predaja dlhodobého majetku a materiálu</t>
  </si>
  <si>
    <t>F</t>
  </si>
  <si>
    <t>Zostatková cena predaného dlhodobého majetku a predaného materiálu</t>
  </si>
  <si>
    <t>G</t>
  </si>
  <si>
    <t>Tvorba a zúčtovanie opravných položiek k pohľadávkam</t>
  </si>
  <si>
    <t xml:space="preserve"> IV.</t>
  </si>
  <si>
    <t>Ostatné vynosy z hospodárskej činnosti</t>
  </si>
  <si>
    <t>H</t>
  </si>
  <si>
    <t>Ostatné náklady na hospodársku činnosť</t>
  </si>
  <si>
    <t xml:space="preserve"> V.</t>
  </si>
  <si>
    <t>Prevod výnosov z hospodárskej činnosti</t>
  </si>
  <si>
    <t>I</t>
  </si>
  <si>
    <t>Prevod nákladov na hospodársku činnosť</t>
  </si>
  <si>
    <t>*</t>
  </si>
  <si>
    <t>Výsledok hospodárenia z hospodárskej činnosti [11-12-17-18+19-20-21+22-23+(-24)-(-25)]</t>
  </si>
  <si>
    <t xml:space="preserve"> VI.</t>
  </si>
  <si>
    <t>Tržby z predaja cenných papierov a podielov</t>
  </si>
  <si>
    <t>J</t>
  </si>
  <si>
    <t>Predané cenné papiere a podiely</t>
  </si>
  <si>
    <t xml:space="preserve"> VII.</t>
  </si>
  <si>
    <t>Výnosy z dlhodobého finančného majetku [30+31+32]</t>
  </si>
  <si>
    <t xml:space="preserve"> VII.1</t>
  </si>
  <si>
    <t>Výnosy z cenných papierov a podielov v dcérskej účtovnej jednotke a v spoločnosti s podstatným vplyvom</t>
  </si>
  <si>
    <t xml:space="preserve"> VII.2</t>
  </si>
  <si>
    <t>Výnosy z ostatných dlhodobých cenných papierov a podielov</t>
  </si>
  <si>
    <t xml:space="preserve"> VII.3</t>
  </si>
  <si>
    <t>Výnosy z ostatného dlhodobého finančného majetku</t>
  </si>
  <si>
    <t xml:space="preserve"> VIII.</t>
  </si>
  <si>
    <t>Výnosy z krátkodobého finančného majetku</t>
  </si>
  <si>
    <t>K</t>
  </si>
  <si>
    <t>Náklady na krátkodobý finančný majetok</t>
  </si>
  <si>
    <t xml:space="preserve"> IX.</t>
  </si>
  <si>
    <t>Výnosy z precenenia cenných papierov a výnosy z derivátových operácii</t>
  </si>
  <si>
    <t>L</t>
  </si>
  <si>
    <t>Náklady na precenenie cenných papierov a náklady na derivátové operácie</t>
  </si>
  <si>
    <t>Tvorba a zúčtovanie opravných položiek k finančnému majetku</t>
  </si>
  <si>
    <t xml:space="preserve"> X.</t>
  </si>
  <si>
    <t>Výnosové úroky</t>
  </si>
  <si>
    <t>N</t>
  </si>
  <si>
    <t>Nákladové úroky</t>
  </si>
  <si>
    <t xml:space="preserve"> XI.</t>
  </si>
  <si>
    <t>Kurzové zisky</t>
  </si>
  <si>
    <t>O</t>
  </si>
  <si>
    <t>Kurzové straty</t>
  </si>
  <si>
    <t xml:space="preserve"> XII.</t>
  </si>
  <si>
    <t>Ostatné výnosy z finančnej činnosti</t>
  </si>
  <si>
    <t>P</t>
  </si>
  <si>
    <t>Ostatné náklady na finančnú činnosť</t>
  </si>
  <si>
    <t xml:space="preserve"> XIII.</t>
  </si>
  <si>
    <t>Prevod finančných výnosov</t>
  </si>
  <si>
    <t>R</t>
  </si>
  <si>
    <t>Prevod finančných nákladov</t>
  </si>
  <si>
    <t>Výsledok hospodárenia z finančnej činnosti [27-28+29+33-34+35-36-37+38-39+40-41+42-43+(-44)-(-45)]</t>
  </si>
  <si>
    <t>**</t>
  </si>
  <si>
    <t>Výsledok hospodárenia z bežnej činnosti pred zdanením [26+46]</t>
  </si>
  <si>
    <t>S</t>
  </si>
  <si>
    <t>Daň z príjmov z bežnej činnosti [49+50]</t>
  </si>
  <si>
    <t>S.1</t>
  </si>
  <si>
    <t>Daň z príjmov z bežnej činnosti - splatná</t>
  </si>
  <si>
    <t>S.2</t>
  </si>
  <si>
    <t>Daň z príjmov z bežnej činnosti - odložená</t>
  </si>
  <si>
    <t>Výsledok hospodárenia z bežnej činnosti po zdanení [47-48]</t>
  </si>
  <si>
    <t xml:space="preserve"> XIV.</t>
  </si>
  <si>
    <t>Mimoriadne výnosy</t>
  </si>
  <si>
    <t>T</t>
  </si>
  <si>
    <t>Mimoriadne náklady</t>
  </si>
  <si>
    <t>Výsledok hospodárenia z mimoriadnej činnosti pred zdanením [52-53]</t>
  </si>
  <si>
    <t>U</t>
  </si>
  <si>
    <t>Daň z príjmov z mimoriadnej činnosti [56+57]</t>
  </si>
  <si>
    <t>U.1</t>
  </si>
  <si>
    <t>Daň z príjmov z mimoriadnej činnosti - splatná</t>
  </si>
  <si>
    <t>U.2</t>
  </si>
  <si>
    <t>Daň z príjmov z mimoriadnej činnosti - odložená</t>
  </si>
  <si>
    <t>Výsledok hospodárenia z mimoriadnej činnosti po zdanení [54-55]</t>
  </si>
  <si>
    <t>***</t>
  </si>
  <si>
    <t>Výsledok hospodárenia za účtovné obdobie pred zdanení [47+54]</t>
  </si>
  <si>
    <t>V</t>
  </si>
  <si>
    <t>Prevod podielov na výsledku hospodárenia spoločníkom</t>
  </si>
  <si>
    <t>Výsledok hospodárenia za účtovné obdobie po zdanení [51+58-60]</t>
  </si>
  <si>
    <t>Check</t>
  </si>
  <si>
    <t>Acruals / Defferred items</t>
  </si>
  <si>
    <t>Bank loans L/T</t>
  </si>
  <si>
    <t>Bank loans S/T</t>
  </si>
  <si>
    <t>Beg Y</t>
  </si>
  <si>
    <t>End Y</t>
  </si>
  <si>
    <t>Left</t>
  </si>
  <si>
    <t>Top</t>
  </si>
  <si>
    <t>Right</t>
  </si>
  <si>
    <t>Bottom</t>
  </si>
  <si>
    <t>Ref</t>
  </si>
  <si>
    <t>$I$2:$O$11</t>
  </si>
  <si>
    <t>Shareholder receivables</t>
  </si>
  <si>
    <t>Other receivables</t>
  </si>
  <si>
    <t xml:space="preserve">Sold Assets/material </t>
  </si>
  <si>
    <t>7a</t>
  </si>
  <si>
    <t>7b</t>
  </si>
  <si>
    <t>COGS</t>
  </si>
  <si>
    <t>$A$1:$CD$6</t>
  </si>
  <si>
    <t>$A$1:$CD$13</t>
  </si>
  <si>
    <t>$A$1:$CD$10</t>
  </si>
  <si>
    <t>$A$32:$CD$41</t>
  </si>
  <si>
    <t>$A$1:$CP$7</t>
  </si>
  <si>
    <t>$A$9:$CP$15</t>
  </si>
  <si>
    <t>$A$1:$N$10</t>
  </si>
  <si>
    <t>$A$1:$Y$8</t>
  </si>
  <si>
    <t>$O$1:$S$12</t>
  </si>
  <si>
    <t>EBITDA %</t>
  </si>
  <si>
    <t>Upravená EBITDA</t>
  </si>
  <si>
    <t>Peňažné prostriedky</t>
  </si>
  <si>
    <t>Net debt</t>
  </si>
  <si>
    <t>$B$6:$M$15</t>
  </si>
  <si>
    <t>Tržby z predaja výrobkov a služieb</t>
  </si>
  <si>
    <t>Náklady na predaj tovaru</t>
  </si>
  <si>
    <t>Spotreba materiálu, energie</t>
  </si>
  <si>
    <t>Hrubý zisk</t>
  </si>
  <si>
    <t>Réžijné náklady</t>
  </si>
  <si>
    <t>Ostatné výnosy / (náklady) z hospodárskej činnosti</t>
  </si>
  <si>
    <t>Zostatková cena predaného DM a materiálu</t>
  </si>
  <si>
    <t>Tržby z predaja DM a materiálu</t>
  </si>
  <si>
    <t>Výnosy / (náklady) z krátkodobého FM a precenenie</t>
  </si>
  <si>
    <t>Ostatné výnosy / (náklady) z finančnej činnosti</t>
  </si>
  <si>
    <t>Výnos / (náklad) z úrokov</t>
  </si>
  <si>
    <t>Mimoriadne výnos / (náklad)</t>
  </si>
  <si>
    <t>Zisk pred zdanením</t>
  </si>
  <si>
    <t>Daň</t>
  </si>
  <si>
    <t>Zisk po zdanení</t>
  </si>
  <si>
    <t>Hrubá marža %</t>
  </si>
  <si>
    <t>Kurzový Výnos / (Strata)</t>
  </si>
  <si>
    <t>Upravená Hrubá marža %</t>
  </si>
  <si>
    <t>Upravená Hrubý zisk</t>
  </si>
  <si>
    <t>Výnos / (strata) z predaja DHM a materálu</t>
  </si>
  <si>
    <t>Upravená EBITDA %</t>
  </si>
  <si>
    <t>Úpravy</t>
  </si>
  <si>
    <t>Dlhodobý majetok</t>
  </si>
  <si>
    <t>Dlhodobý finančný majetok</t>
  </si>
  <si>
    <t>Krátkodobý majetok</t>
  </si>
  <si>
    <t>Obchodné pohľadávky</t>
  </si>
  <si>
    <t>Finančné účty</t>
  </si>
  <si>
    <t>Ostatné pohľadávky</t>
  </si>
  <si>
    <t>Kapitálové fondy a fondy zo zisku</t>
  </si>
  <si>
    <t>Výsledok hospodárenia minulých rokov</t>
  </si>
  <si>
    <t>Rezervy</t>
  </si>
  <si>
    <t>Výsledok hospodárenia za účtovné obdobie</t>
  </si>
  <si>
    <t>Spolu dlhodobý majetok</t>
  </si>
  <si>
    <t>Záväzky</t>
  </si>
  <si>
    <t>Dlhodobé záväzky</t>
  </si>
  <si>
    <t>Bankový úver a dlhopisy</t>
  </si>
  <si>
    <t>Záväzky voči spriaznenej účtovnej jednotke</t>
  </si>
  <si>
    <t>Záväzky voči spriaznenej účtovnej jednotke a spoločníkom</t>
  </si>
  <si>
    <t>Bankový úver a krátkodobé výpomoci</t>
  </si>
  <si>
    <t>Ostatné krátkodobé záväzky</t>
  </si>
  <si>
    <t>Časové rozlíšenie (krátkdobé + dlhodobé)</t>
  </si>
  <si>
    <t>Spolu záväzky</t>
  </si>
  <si>
    <t>Spolu aktíva</t>
  </si>
  <si>
    <t>Spolu záväzky a imanie</t>
  </si>
  <si>
    <t>Zmena stavu obchodných pohľadávok</t>
  </si>
  <si>
    <t>Zmena stavu ostatných krátkodobých aktív</t>
  </si>
  <si>
    <t>Zmena stavu obchodných záväzkov</t>
  </si>
  <si>
    <t>Zmena stavu ostatných krátkodobých záväzkov</t>
  </si>
  <si>
    <t>Peňažné toky z prevádzkovej činnosti</t>
  </si>
  <si>
    <t>Peňažné toky z investičnej činnosti</t>
  </si>
  <si>
    <t>Zmena v (investíciách) / predaj majetku</t>
  </si>
  <si>
    <t>Peňažné toky z finančnej činnosti</t>
  </si>
  <si>
    <t>Zmena stavu bankových úverov a dlhopisov</t>
  </si>
  <si>
    <t>Zmena stavu ostatných dlhodobých záväzkov</t>
  </si>
  <si>
    <t>Zmena vo vlastnom imaní</t>
  </si>
  <si>
    <t>Čistý peňažné toky za obdobie</t>
  </si>
  <si>
    <t>Peňažné prostriedky na začiatku obdobia</t>
  </si>
  <si>
    <t>Peňažné prostriedky na konci obdobia</t>
  </si>
  <si>
    <t>Mimoriadne výnosy / (náklady)</t>
  </si>
  <si>
    <t>Výkaz o peňažných tokoch</t>
  </si>
  <si>
    <t>Zmena v tržbách %</t>
  </si>
  <si>
    <t>Čistý zisk</t>
  </si>
  <si>
    <t>Čistý dlh | Dlh / (Peniaze)</t>
  </si>
  <si>
    <t>Čistý dlh / Upravená EBITDA</t>
  </si>
  <si>
    <t>Čistý pracovný kapitál</t>
  </si>
  <si>
    <t>Kľúčové ukazovateľe</t>
  </si>
  <si>
    <t>Hmotný majetok</t>
  </si>
  <si>
    <t>Budovy</t>
  </si>
  <si>
    <t>Stroje</t>
  </si>
  <si>
    <t>Nehmotný majetok</t>
  </si>
  <si>
    <t>Ostatné aktíva</t>
  </si>
  <si>
    <t>Predaj majetku / (investícia)</t>
  </si>
  <si>
    <t>Prehľad dlhodobého majetku</t>
  </si>
  <si>
    <t>Pracovný kapitál</t>
  </si>
  <si>
    <t>PK, úroveň 1</t>
  </si>
  <si>
    <t>PK % z Tržieb %</t>
  </si>
  <si>
    <t>Daňové záväzky, netto</t>
  </si>
  <si>
    <t>Ostatné aktíva a záväzky, netto</t>
  </si>
  <si>
    <t>PK, úroveň 2</t>
  </si>
  <si>
    <t>Peňažný cyklus</t>
  </si>
  <si>
    <t>Obrátkovosť v dňoch</t>
  </si>
  <si>
    <t>Časové rozlíšenie (krátkodobé + dlhodobé)</t>
  </si>
  <si>
    <t>Upravená EBITDA*</t>
  </si>
  <si>
    <t>Balance sheet</t>
  </si>
  <si>
    <t>Structures</t>
  </si>
  <si>
    <t>Machinery, tools and equipment</t>
  </si>
  <si>
    <t>Finančné investície</t>
  </si>
  <si>
    <t>Financial investments</t>
  </si>
  <si>
    <t>Ostatné dlhodobé aktíva</t>
  </si>
  <si>
    <t>Other fixed assets</t>
  </si>
  <si>
    <t>Working capital</t>
  </si>
  <si>
    <t>Inventories</t>
  </si>
  <si>
    <t>Trade payables</t>
  </si>
  <si>
    <t>NWC, narrow definition</t>
  </si>
  <si>
    <t>Ostatné krátkdobé aktíva</t>
  </si>
  <si>
    <t>Other current assets</t>
  </si>
  <si>
    <t>Other payables</t>
  </si>
  <si>
    <t>NWC, wide definition</t>
  </si>
  <si>
    <t>Čistý dlh</t>
  </si>
  <si>
    <t>Krátkdobý dlh</t>
  </si>
  <si>
    <t>Short-term loans</t>
  </si>
  <si>
    <t>Dlhodobý dlh</t>
  </si>
  <si>
    <t>Long-term loans</t>
  </si>
  <si>
    <t>Other non-current liabilities</t>
  </si>
  <si>
    <t>Ostatné položky</t>
  </si>
  <si>
    <t>Other items</t>
  </si>
  <si>
    <t>Odložené daňové pohľadávky</t>
  </si>
  <si>
    <t>Deferred tax asset</t>
  </si>
  <si>
    <t>Odložené daňové záväzky</t>
  </si>
  <si>
    <t>Deferred tax liability</t>
  </si>
  <si>
    <t>Čisté aktíva</t>
  </si>
  <si>
    <t>Net assets</t>
  </si>
  <si>
    <t>Nerozdelený zisk/(strata) z minulých rokov</t>
  </si>
  <si>
    <t>Výsledok hospodárenia</t>
  </si>
  <si>
    <t xml:space="preserve">Profit / (loss) of the current period </t>
  </si>
  <si>
    <t>Land</t>
  </si>
  <si>
    <t>Krátkodobé finančné aktíva</t>
  </si>
  <si>
    <t>Kapitálové fondy, fondy zo zisku a rezervy</t>
  </si>
  <si>
    <t>Bankové Úvery - dlhodobé</t>
  </si>
  <si>
    <t>Bankové Úvery - krátkodobé</t>
  </si>
  <si>
    <t>Rezervy krátkodobé</t>
  </si>
  <si>
    <t>Rezervy dlhodobé</t>
  </si>
  <si>
    <t>Bankové úvery</t>
  </si>
  <si>
    <t>Iné tržby</t>
  </si>
  <si>
    <t>Výnosy z predaja aktív</t>
  </si>
  <si>
    <t>Spotreba materiálu</t>
  </si>
  <si>
    <t>Key financials</t>
  </si>
  <si>
    <t>Revenue change %</t>
  </si>
  <si>
    <t>Gross margin %</t>
  </si>
  <si>
    <t>Adj. EBITDA*</t>
  </si>
  <si>
    <t>Adj. EBITDA %</t>
  </si>
  <si>
    <t>Net profit</t>
  </si>
  <si>
    <t>Net debt | Debt / (Cash)</t>
  </si>
  <si>
    <t>Net debt / Adj. EBITDA</t>
  </si>
  <si>
    <t>Net working capital</t>
  </si>
  <si>
    <t>Total Assets</t>
  </si>
  <si>
    <t>Fixed asset overview</t>
  </si>
  <si>
    <t>Tangible assets</t>
  </si>
  <si>
    <t>Other assets</t>
  </si>
  <si>
    <t>Advance payments</t>
  </si>
  <si>
    <t>Total Fixed assets</t>
  </si>
  <si>
    <t>Divestment / (CAPEX)</t>
  </si>
  <si>
    <t>Working Capital</t>
  </si>
  <si>
    <t>Trade Receivables</t>
  </si>
  <si>
    <t>WoCa (reported)</t>
  </si>
  <si>
    <t>WoCa % revenues</t>
  </si>
  <si>
    <t>Liabilities to employees</t>
  </si>
  <si>
    <t>Tax liabilities, net</t>
  </si>
  <si>
    <t>Other assets and liabilities net</t>
  </si>
  <si>
    <t>Other rec. &amp; intercompany rec.</t>
  </si>
  <si>
    <t>ST - financial assets &amp; Accruals</t>
  </si>
  <si>
    <t>LT - Other liab. &amp; intercompany liab.</t>
  </si>
  <si>
    <t>ST - Other liab. &amp; intercompany liab.</t>
  </si>
  <si>
    <t>ST/LT Accruals (liabilities)</t>
  </si>
  <si>
    <t>WoCa (wider)</t>
  </si>
  <si>
    <t>Check PK 1</t>
  </si>
  <si>
    <t>Check PK 2</t>
  </si>
  <si>
    <t>Turnover days</t>
  </si>
  <si>
    <t>Cash conversion cycle</t>
  </si>
  <si>
    <t>Inputs for Turnover calculation</t>
  </si>
  <si>
    <t>Cost of material sold</t>
  </si>
  <si>
    <t>Change in inventory</t>
  </si>
  <si>
    <t>Vstupy pre výpočet obrátkovosti pracovného kapitálu</t>
  </si>
  <si>
    <t>Ostatné pohľ. a pohľ. prepojených účt. jednotiek</t>
  </si>
  <si>
    <t xml:space="preserve">Krátkodobé - fin. majetok a preddavky </t>
  </si>
  <si>
    <t>Dlhodobé - ostatné záv. a záv. prepojených účt. jedn.</t>
  </si>
  <si>
    <t>Krátkodobé - ostatné záv. a záv. prepojených účt. jedn.</t>
  </si>
  <si>
    <t>Krátk./Dlhodob. - preddavky (záv.)</t>
  </si>
  <si>
    <t>Kontrola PK1</t>
  </si>
  <si>
    <t>Kontrola PK2</t>
  </si>
  <si>
    <t>Other revenues from operations</t>
  </si>
  <si>
    <t>Income Statement</t>
  </si>
  <si>
    <t>Capitalised expense</t>
  </si>
  <si>
    <t>Exchange Profit / (Loss) net</t>
  </si>
  <si>
    <t>Overhead Costs</t>
  </si>
  <si>
    <t>Services</t>
  </si>
  <si>
    <t>Other revenues/expenses for operating purposes, net</t>
  </si>
  <si>
    <t>Net book value of fixed assets and invetory</t>
  </si>
  <si>
    <t>Sold assets/material</t>
  </si>
  <si>
    <t>Long term financial assets</t>
  </si>
  <si>
    <t>Other income / (cost) from financial operation</t>
  </si>
  <si>
    <t>Extraordinary income / (cost)</t>
  </si>
  <si>
    <t>Net Income</t>
  </si>
  <si>
    <t>Adjustments</t>
  </si>
  <si>
    <t>Reported Gross profit</t>
  </si>
  <si>
    <t>Exchange (Profit) / Loss net</t>
  </si>
  <si>
    <t>Adjusted Gross profit</t>
  </si>
  <si>
    <t>Adj Gross margin %</t>
  </si>
  <si>
    <t>Reported EBITDA</t>
  </si>
  <si>
    <t>Sold Assets / Material net</t>
  </si>
  <si>
    <t>Adjusted EBITDA</t>
  </si>
  <si>
    <t>Current Assets</t>
  </si>
  <si>
    <t>Accruals / Defferred items (ST + LT)</t>
  </si>
  <si>
    <t>Profit / (loss) from current period</t>
  </si>
  <si>
    <t>Liabilities</t>
  </si>
  <si>
    <t>Non-current Liabilities</t>
  </si>
  <si>
    <t>Loan</t>
  </si>
  <si>
    <t>Intercompany payables</t>
  </si>
  <si>
    <t>Provisions</t>
  </si>
  <si>
    <t>Other long term liabilities</t>
  </si>
  <si>
    <t>Current Liabilities</t>
  </si>
  <si>
    <t>Other short term liabilities</t>
  </si>
  <si>
    <t>Total Liabilities</t>
  </si>
  <si>
    <t>TOTAL LIABILITIES AND EQUITY</t>
  </si>
  <si>
    <t>Cash flow</t>
  </si>
  <si>
    <t>Net income</t>
  </si>
  <si>
    <t>Operating cash flow</t>
  </si>
  <si>
    <t>Change in trade receivables</t>
  </si>
  <si>
    <t>Change in inventories</t>
  </si>
  <si>
    <t>Change in other current assets</t>
  </si>
  <si>
    <t>Change in trade payables</t>
  </si>
  <si>
    <t>Change in other current payables</t>
  </si>
  <si>
    <t>Investing cash flow</t>
  </si>
  <si>
    <t>Change in (investments) / divestments</t>
  </si>
  <si>
    <t>Financing cash flow</t>
  </si>
  <si>
    <t>Change in bank loans</t>
  </si>
  <si>
    <t>Change in other long-term liabilities</t>
  </si>
  <si>
    <t>Change in equity</t>
  </si>
  <si>
    <t>Total Cash Flow</t>
  </si>
  <si>
    <t>Cash at the beginning of period</t>
  </si>
  <si>
    <t>Cash at the end of period</t>
  </si>
  <si>
    <t>Direct expense</t>
  </si>
  <si>
    <t>Gross profit margin</t>
  </si>
  <si>
    <t>Hrubá marža</t>
  </si>
  <si>
    <t>Revenues from L-T financial assets</t>
  </si>
  <si>
    <t>Revenues from S-T financial assets and revaluation, net</t>
  </si>
  <si>
    <t>EBITDA Margin</t>
  </si>
  <si>
    <t>EBITDA Marža</t>
  </si>
  <si>
    <t>Total assets</t>
  </si>
  <si>
    <t>Unit choice -&gt;</t>
  </si>
  <si>
    <t>Výber jednotiek -&gt;</t>
  </si>
  <si>
    <t>Priame náklady spolu</t>
  </si>
  <si>
    <t>splatná</t>
  </si>
  <si>
    <t>Záväzky a vlastné imanie spolu</t>
  </si>
  <si>
    <t>Total equity and liabilities</t>
  </si>
  <si>
    <t>Firma:</t>
  </si>
  <si>
    <t>Total indirect expense</t>
  </si>
  <si>
    <t>Indirect expense</t>
  </si>
  <si>
    <t>Check with finstat</t>
  </si>
  <si>
    <t>CAGR</t>
  </si>
  <si>
    <t>Počiatočný rok</t>
  </si>
  <si>
    <t>Koncový rok</t>
  </si>
  <si>
    <t>Počet rokov</t>
  </si>
  <si>
    <t>Počiatočná hodnota</t>
  </si>
  <si>
    <t>Koncová hodnota</t>
  </si>
  <si>
    <t>Zadajte zo zoznamu</t>
  </si>
  <si>
    <t>Výpočet</t>
  </si>
  <si>
    <t>Výsledok</t>
  </si>
  <si>
    <t>Other</t>
  </si>
  <si>
    <t>Ostatné</t>
  </si>
  <si>
    <t>Vertikálna analýza (% z tržieb)</t>
  </si>
  <si>
    <t>Časová analýza</t>
  </si>
  <si>
    <t>FY16</t>
  </si>
  <si>
    <t>FY17</t>
  </si>
  <si>
    <t>FY18</t>
  </si>
  <si>
    <t>FY19</t>
  </si>
  <si>
    <t>FY20</t>
  </si>
  <si>
    <t>Komentár</t>
  </si>
  <si>
    <t>Vertikálna analýza (% z celkových aktív)</t>
  </si>
  <si>
    <t>Finančný plán: Dlhová služba</t>
  </si>
  <si>
    <t>Dlhová služba</t>
  </si>
  <si>
    <t>Predpoklady</t>
  </si>
  <si>
    <t>Úroková sadzba (RPMN)</t>
  </si>
  <si>
    <t>Doba splácania (v rokoch)</t>
  </si>
  <si>
    <t>Hodnota istiny</t>
  </si>
  <si>
    <t>Výpočty</t>
  </si>
  <si>
    <t>Počiatočný stav úverov</t>
  </si>
  <si>
    <t>Splátka istiny v období</t>
  </si>
  <si>
    <t>Koncový stav úverov</t>
  </si>
  <si>
    <t>Zaplatené úroky</t>
  </si>
  <si>
    <t>Celková dlhová služba</t>
  </si>
  <si>
    <t>Ukazovatele zadlženosti</t>
  </si>
  <si>
    <t>Dlh / Aktíva</t>
  </si>
  <si>
    <t>Dlh / Vlastné imanie</t>
  </si>
  <si>
    <t>EBITDA / Náklady na úroky</t>
  </si>
  <si>
    <t>Dlhová služba / Prevádzkové peňažné toky</t>
  </si>
  <si>
    <t>Finančný plán: Scenáre</t>
  </si>
  <si>
    <t>Realistický</t>
  </si>
  <si>
    <t>Pesimistický</t>
  </si>
  <si>
    <t>31-Dec-21</t>
  </si>
  <si>
    <t>31-Dec-22</t>
  </si>
  <si>
    <t>31-Dec-23</t>
  </si>
  <si>
    <t>31-Dec-24</t>
  </si>
  <si>
    <t>31-Dec-25</t>
  </si>
  <si>
    <t>Manažment</t>
  </si>
  <si>
    <t>Vývoj tržieb, nákladov a EBITDA</t>
  </si>
  <si>
    <t>Čisté peňažné toky</t>
  </si>
  <si>
    <t>Voľný CF</t>
  </si>
  <si>
    <t>Kumulatívny CF</t>
  </si>
  <si>
    <t>Finančný plán: Návratnosť projektu</t>
  </si>
  <si>
    <t>Odčerpateľné peňažné toky firmy (FCFF)</t>
  </si>
  <si>
    <t>Dátum konca obdobia</t>
  </si>
  <si>
    <t>- Dane</t>
  </si>
  <si>
    <t>- Investície do pracovného kapitálu</t>
  </si>
  <si>
    <t>Odčerpateľné peňažné toky (FCFF)</t>
  </si>
  <si>
    <t>Kumulatívne peňažné toky</t>
  </si>
  <si>
    <t>Zlomok posledného záporného peňažného toku</t>
  </si>
  <si>
    <t>Vnútorná návratnosť projektu</t>
  </si>
  <si>
    <t>Vnútorná miera návratnosti (IRR)</t>
  </si>
  <si>
    <t xml:space="preserve">Doba návratnosti v rokoch (Payback period) </t>
  </si>
  <si>
    <t>% z Tržieb</t>
  </si>
  <si>
    <t>Libor (3-mesačný)</t>
  </si>
  <si>
    <t>Spread</t>
  </si>
  <si>
    <t>Prevádzkové náklady</t>
  </si>
  <si>
    <t>rast (%)</t>
  </si>
  <si>
    <t>Štruktúra tržieb v EUR</t>
  </si>
  <si>
    <t>aktuálny stav</t>
  </si>
  <si>
    <t>podiel</t>
  </si>
  <si>
    <t>Hlavá činnost podnikania/ Z čoho sú tvorené tržby/ Popis výrobného alebo predajného cyklu</t>
  </si>
  <si>
    <t>Tržby celkom</t>
  </si>
  <si>
    <t>Štruktúra tržieb</t>
  </si>
  <si>
    <t>Výroba a následný predaj</t>
  </si>
  <si>
    <t>Predaj obstaraných výrobkov</t>
  </si>
  <si>
    <t>5 najväčších odberateľov</t>
  </si>
  <si>
    <t>Časova štruktúra pohľadávok z OS  v EUR</t>
  </si>
  <si>
    <t>názov odberateľa</t>
  </si>
  <si>
    <t>IČO</t>
  </si>
  <si>
    <t>objem v EUR</t>
  </si>
  <si>
    <t>lehoty splatnosti v dňoch</t>
  </si>
  <si>
    <t xml:space="preserve">podiel na tržbách </t>
  </si>
  <si>
    <t>podiel v %</t>
  </si>
  <si>
    <t>do lehoty splatnosti</t>
  </si>
  <si>
    <t>Povinný komentár k polehotným pohľadávkam nad 90 dní 
(Odberateľ, dôvody nezaplatenia, zabezpečenie pohľadávky, termín predpokladanej úhrady)</t>
  </si>
  <si>
    <t>po lehote splatnosti</t>
  </si>
  <si>
    <t>do 30 dní</t>
  </si>
  <si>
    <t>do 60 dní</t>
  </si>
  <si>
    <t>do 90 dní</t>
  </si>
  <si>
    <t>nad 90 dní</t>
  </si>
  <si>
    <t>SPOLU</t>
  </si>
  <si>
    <t xml:space="preserve">zádržné </t>
  </si>
  <si>
    <t>preddavky</t>
  </si>
  <si>
    <t>opravné položky</t>
  </si>
  <si>
    <t>5 najväčších dodávateľov</t>
  </si>
  <si>
    <t xml:space="preserve">Časova štruktúra záväzkov z OS </t>
  </si>
  <si>
    <t>názov dodávateľa</t>
  </si>
  <si>
    <t>Povinný komentár k polehotným záväzkom nad 90 dní 
(Dodávateľ, dôvody aktuálneho stavu a termín predpokladanej úhrady)</t>
  </si>
  <si>
    <t>LEASINGY</t>
  </si>
  <si>
    <t>Záväzky voči spoločníkom, združeniu, zamestnancom, ovládanej osobe, ovládajúcej osobe a iné</t>
  </si>
  <si>
    <t>názov leasingovej spoločnosti</t>
  </si>
  <si>
    <t>predmet leasingu</t>
  </si>
  <si>
    <t>dátum začiatu leasingu</t>
  </si>
  <si>
    <t>dátum ukončenia leasingu</t>
  </si>
  <si>
    <t>zostattok v EUR</t>
  </si>
  <si>
    <t>Druh záväzku</t>
  </si>
  <si>
    <t>Výška záväzku v Eur</t>
  </si>
  <si>
    <t>Podmienky splatnosti</t>
  </si>
  <si>
    <t>celkom</t>
  </si>
  <si>
    <t>z toho po lehote splatnosti</t>
  </si>
  <si>
    <t>Sociálna poisťovňa</t>
  </si>
  <si>
    <t>Zdravotná poisťovňa</t>
  </si>
  <si>
    <t>Daňový úrad</t>
  </si>
  <si>
    <t>Aktuálny počet zamestnancov</t>
  </si>
  <si>
    <t>Úvery a pôžičky</t>
  </si>
  <si>
    <t>Podpísané aktuálne zákazky</t>
  </si>
  <si>
    <t>Veriteľ</t>
  </si>
  <si>
    <t>typ úveru (SPL, KTK...)</t>
  </si>
  <si>
    <t>ročné splátky v EUR</t>
  </si>
  <si>
    <t>dátum poskytnutia úveru</t>
  </si>
  <si>
    <t>dátum splatnosti úveru</t>
  </si>
  <si>
    <t>Zákazník / Odberatel</t>
  </si>
  <si>
    <t>Obejm zakazky v EUR</t>
  </si>
  <si>
    <t>dátum podpisu</t>
  </si>
  <si>
    <t>Termín realizácie</t>
  </si>
  <si>
    <t>Obchodná marza</t>
  </si>
  <si>
    <t>Splatnost faktúr v dnoch</t>
  </si>
  <si>
    <t>Pozicky v ramci skupiny</t>
  </si>
  <si>
    <t>Plánované zákazky</t>
  </si>
  <si>
    <t>Polehotné záväzky voči štátnym inštitúciám</t>
  </si>
  <si>
    <t>Inštitúcia</t>
  </si>
  <si>
    <t>objem po lehote splatnosti v EUR</t>
  </si>
  <si>
    <t>dohodnutý splátkový kalendár áno/nie</t>
  </si>
  <si>
    <t>Maloobchod</t>
  </si>
  <si>
    <t>Veľkoobchod</t>
  </si>
  <si>
    <t xml:space="preserve">tržby z predaja služieb </t>
  </si>
  <si>
    <t>Iné</t>
  </si>
  <si>
    <t>- Investície do dlhodobého majetku</t>
  </si>
  <si>
    <t>Čisté peňažné toky za obdobie</t>
  </si>
  <si>
    <t>Podstatná história 2018-2020</t>
  </si>
  <si>
    <t>Legenda</t>
  </si>
  <si>
    <t>Vzorce</t>
  </si>
  <si>
    <t>Hard input</t>
  </si>
  <si>
    <t>Link na iný hárok</t>
  </si>
  <si>
    <t>Editovateľné polia</t>
  </si>
  <si>
    <t>Vstupné predpoklady</t>
  </si>
  <si>
    <t>Všeobecné predpoklady</t>
  </si>
  <si>
    <t>Rok začiatku projekcie</t>
  </si>
  <si>
    <t>Dni v období</t>
  </si>
  <si>
    <t>#</t>
  </si>
  <si>
    <t>Mesiace v období</t>
  </si>
  <si>
    <t>Priemerná inflácia</t>
  </si>
  <si>
    <t>Obsadenosť</t>
  </si>
  <si>
    <t>Minimálna mzda</t>
  </si>
  <si>
    <t>€/ mesiac</t>
  </si>
  <si>
    <t>Obdobie</t>
  </si>
  <si>
    <t>Cenový index</t>
  </si>
  <si>
    <t>Daň z príjmu</t>
  </si>
  <si>
    <t>Kľúčové predpoklady</t>
  </si>
  <si>
    <t>Tržby - Celkovo</t>
  </si>
  <si>
    <t>Prevádzkové náklady - SG&amp;A</t>
  </si>
  <si>
    <t>Personálne náklady</t>
  </si>
  <si>
    <t>Podporné kalkulácie</t>
  </si>
  <si>
    <t>Odpisy a amortizácia (D&amp;A)</t>
  </si>
  <si>
    <t>PP&amp;E Otvorenie</t>
  </si>
  <si>
    <t>Plus Capex</t>
  </si>
  <si>
    <t>PP&amp;E Zatvorenie</t>
  </si>
  <si>
    <t>Plánované investície - CAPEX</t>
  </si>
  <si>
    <t>Odpis</t>
  </si>
  <si>
    <t>Vývoj tržieb</t>
  </si>
  <si>
    <t>Priame náklady - Celkovo</t>
  </si>
  <si>
    <t>Kontrola (Hrubá marža)</t>
  </si>
  <si>
    <t>€/ ročne</t>
  </si>
  <si>
    <t>Personálne náklady - Celkovo</t>
  </si>
  <si>
    <t xml:space="preserve">% z tržieb </t>
  </si>
  <si>
    <t>SG&amp;A - Celkovo</t>
  </si>
  <si>
    <t>Vlastné zdroje</t>
  </si>
  <si>
    <t>Úroková sadzba na úvery</t>
  </si>
  <si>
    <t>Výška úveru</t>
  </si>
  <si>
    <t>Počet rokov splácania</t>
  </si>
  <si>
    <t>Splátka istiny</t>
  </si>
  <si>
    <t>Úrok</t>
  </si>
  <si>
    <t>Celkovo</t>
  </si>
  <si>
    <t>Istina</t>
  </si>
  <si>
    <t>Splátka</t>
  </si>
  <si>
    <t>Odpisová skupina 6 (Odpisy 40 rokov)</t>
  </si>
  <si>
    <t>Odpisová skupina 2 (Odpisy 6 rokov)</t>
  </si>
  <si>
    <t>Odpisy - Celkovo</t>
  </si>
  <si>
    <t>Mínus pôvodné odpisy</t>
  </si>
  <si>
    <t>Mínus nové odpisy</t>
  </si>
  <si>
    <t>Aktuálny scenár</t>
  </si>
  <si>
    <t>- Úroky</t>
  </si>
  <si>
    <t>Rok</t>
  </si>
  <si>
    <r>
      <t xml:space="preserve">podiel na </t>
    </r>
    <r>
      <rPr>
        <b/>
        <sz val="8"/>
        <color rgb="FFFF0000"/>
        <rFont val="Arial"/>
        <family val="2"/>
        <charset val="238"/>
      </rPr>
      <t>tržbách</t>
    </r>
  </si>
  <si>
    <t>CAPEX - Celkovo</t>
  </si>
  <si>
    <t>CAPEX - rozvrh</t>
  </si>
  <si>
    <t>Čistá súčasná hodnota (NPV)</t>
  </si>
  <si>
    <t>Návratnosť na investíciu (ROI)</t>
  </si>
  <si>
    <t>Senior House</t>
  </si>
  <si>
    <t>Počet</t>
  </si>
  <si>
    <t>€/deň/klient</t>
  </si>
  <si>
    <t>Cena za lôžko</t>
  </si>
  <si>
    <t>%</t>
  </si>
  <si>
    <t>Vstupné a kľúčové predpoklady</t>
  </si>
  <si>
    <t>Scenár</t>
  </si>
  <si>
    <t>Počet dní v mesiaci</t>
  </si>
  <si>
    <t>% z tržieb tovaru</t>
  </si>
  <si>
    <t>Manažér</t>
  </si>
  <si>
    <t>Priemerná hrubá mzda</t>
  </si>
  <si>
    <t>€/Mesiac</t>
  </si>
  <si>
    <t>Ekonóm</t>
  </si>
  <si>
    <t>Kuchár</t>
  </si>
  <si>
    <t>Hrubé mzdové náklady</t>
  </si>
  <si>
    <t>Priemerný rast minimálnej mzdy</t>
  </si>
  <si>
    <t>Ročná celková hrubá mzda</t>
  </si>
  <si>
    <t>Multiplikátor superhrubej mzdy</t>
  </si>
  <si>
    <t>Osobné náklady - Celkovo</t>
  </si>
  <si>
    <t>Náklady na stravu</t>
  </si>
  <si>
    <t>Zmluvný lekár</t>
  </si>
  <si>
    <t>Ostatné náklady</t>
  </si>
  <si>
    <t>% z tržieb</t>
  </si>
  <si>
    <t>Investície - CAPEX</t>
  </si>
  <si>
    <t>Plánované investície</t>
  </si>
  <si>
    <t>Odpisová skupina 2 (6 rokov)</t>
  </si>
  <si>
    <t>Vybavenie</t>
  </si>
  <si>
    <t xml:space="preserve">Odpis </t>
  </si>
  <si>
    <t>Odpisová skupina 6 (40 rokov)</t>
  </si>
  <si>
    <t>Odpisy a amortizácia</t>
  </si>
  <si>
    <t>Budovy a vybavenie</t>
  </si>
  <si>
    <t>Zatvorenie</t>
  </si>
  <si>
    <t>Mesiac prvého splácania úveru</t>
  </si>
  <si>
    <t>Spotreba materiál a energie</t>
  </si>
  <si>
    <t>priemer (3Y)</t>
  </si>
  <si>
    <t>Kurzové straty/ zisky</t>
  </si>
  <si>
    <t xml:space="preserve">priemer % z tržieb </t>
  </si>
  <si>
    <t>Ostatné výnosy/ náklady</t>
  </si>
  <si>
    <t>priemer 3 roky</t>
  </si>
  <si>
    <t>Investícia do vozidiel</t>
  </si>
  <si>
    <t>Investícia do stavieb a budov</t>
  </si>
  <si>
    <t>Investícia do stojov a technológií</t>
  </si>
  <si>
    <t>Tržby za služby</t>
  </si>
  <si>
    <t>Tržby za tovar a iné</t>
  </si>
  <si>
    <t>Dotácie</t>
  </si>
  <si>
    <t>Hrubá marža (%)</t>
  </si>
  <si>
    <t>EBITDA marža (%)</t>
  </si>
  <si>
    <t>EBIT marža (%)</t>
  </si>
  <si>
    <t>Finančné náklady</t>
  </si>
  <si>
    <t>Hospodársky výsledok pred zdanením</t>
  </si>
  <si>
    <t>Hospodársky výsledok po zdanení</t>
  </si>
  <si>
    <t>Vyhodnotenie investície</t>
  </si>
  <si>
    <t>Doba návratnosti (roky)</t>
  </si>
  <si>
    <t>Výkaz peňažných tokov - Cash Flow</t>
  </si>
  <si>
    <t>Zmena v pracovnom kapitály</t>
  </si>
  <si>
    <t>Prevádzkový cash flow</t>
  </si>
  <si>
    <t>Obchodné pohľadávky počet dní</t>
  </si>
  <si>
    <t>Iné záväzky (ako % z tržieb)</t>
  </si>
  <si>
    <t>Čistý pracovný kapitál (NWC)</t>
  </si>
  <si>
    <t>(Nárast)/ úbytok v pracovnom kapitáli</t>
  </si>
  <si>
    <t>Investície (CAPEX)</t>
  </si>
  <si>
    <t>Investičný cash flow</t>
  </si>
  <si>
    <t>Subtotal</t>
  </si>
  <si>
    <t>Čerpanie dlhu</t>
  </si>
  <si>
    <t>Finančný cash flow</t>
  </si>
  <si>
    <t>Celkový Cash Flow</t>
  </si>
  <si>
    <t>Voľné peňažné toky (FCFE)</t>
  </si>
  <si>
    <t>Kumulatívny Cash Flow</t>
  </si>
  <si>
    <t>Frakcia roka</t>
  </si>
  <si>
    <t>Počet klientov podľa stupňa odkázanosti</t>
  </si>
  <si>
    <t>Stupeň odkázanosti</t>
  </si>
  <si>
    <t>II.</t>
  </si>
  <si>
    <t>III.</t>
  </si>
  <si>
    <t>IV.</t>
  </si>
  <si>
    <t>V.</t>
  </si>
  <si>
    <t>Spolu</t>
  </si>
  <si>
    <t>Kontrola</t>
  </si>
  <si>
    <t>Dotácie podľa stupňa odkázanosti</t>
  </si>
  <si>
    <t>Dotácia na stupeň II.</t>
  </si>
  <si>
    <t>Dotácia na stupeň III.</t>
  </si>
  <si>
    <t>Dotácia na stupeň IV.</t>
  </si>
  <si>
    <t>Dotácia na stupeň V.</t>
  </si>
  <si>
    <t>Dotácie podľa stupňa odkázanosti - Celkovo</t>
  </si>
  <si>
    <t>Zdroje:</t>
  </si>
  <si>
    <t>https://www.upsvr.gov.sk/sluzby-zamestnanosti/nastroje-aktivnych-opatreni-trhu-prace/prispevky-pre-zamestnavatela/prispevok-na-podporu-zamestnavania-znevyhodneneho-uchadzaca-o-zamestnanie-50.html?page_id=293050</t>
  </si>
  <si>
    <t>Definovanie klientskej bázy</t>
  </si>
  <si>
    <t>Keoficient personálu</t>
  </si>
  <si>
    <t>% kvalifikovaného personálu</t>
  </si>
  <si>
    <t>Odhad počtu kvalifikovaného personálu</t>
  </si>
  <si>
    <r>
      <rPr>
        <b/>
        <i/>
        <sz val="6"/>
        <color theme="1"/>
        <rFont val="Arial"/>
        <family val="2"/>
        <charset val="238"/>
      </rPr>
      <t>Zdroj</t>
    </r>
    <r>
      <rPr>
        <i/>
        <sz val="6"/>
        <color theme="1"/>
        <rFont val="Arial"/>
        <family val="2"/>
        <charset val="238"/>
      </rPr>
      <t>: https://www.zakonypreludi.sk/zz/2008-448 Príloha č.1</t>
    </r>
  </si>
  <si>
    <t>https://www.employment.gov.sk/sk/rodina-socialna-pomoc/socialne-sluzby/poskytovanie-financnych-prispevkov/</t>
  </si>
  <si>
    <t>Stav ošetrovateľského personálu</t>
  </si>
  <si>
    <t>ROI</t>
  </si>
  <si>
    <t>Príplatok za stupeň V.</t>
  </si>
  <si>
    <t>Príplatok za stupeň VI.</t>
  </si>
  <si>
    <t>Dodatočné doplatky a služby</t>
  </si>
  <si>
    <t>Strava</t>
  </si>
  <si>
    <t>VI.</t>
  </si>
  <si>
    <t>Spotreba energie (Elektrina, plyn)</t>
  </si>
  <si>
    <t>Tržby za služby (ubytovanie)</t>
  </si>
  <si>
    <t>Predaj dodatočných služieb</t>
  </si>
  <si>
    <t>Náklady na predaj dodatočných služieb</t>
  </si>
  <si>
    <t>% z tržieb služieb</t>
  </si>
  <si>
    <t>Počet zamestnancov</t>
  </si>
  <si>
    <t>Ošetrovateľ (Odborník)</t>
  </si>
  <si>
    <t>Sociálny pracovník</t>
  </si>
  <si>
    <t>Ošetrovateľ (Nižšia kval.)</t>
  </si>
  <si>
    <t>Udržbár</t>
  </si>
  <si>
    <t>Dotácia na stupeň VI.</t>
  </si>
  <si>
    <t>Údržba a opravy (spotrebný materiál)</t>
  </si>
  <si>
    <t>€/rok</t>
  </si>
  <si>
    <t>Ostatné energie (voda, stočné atď...)</t>
  </si>
  <si>
    <t>Marketing</t>
  </si>
  <si>
    <t>Osobné náklady (abs.)</t>
  </si>
  <si>
    <t>Investícia do budov a výstavby</t>
  </si>
  <si>
    <t>Investícia do  vybavenia</t>
  </si>
  <si>
    <t>Nákup strojov</t>
  </si>
  <si>
    <t>Investícia do vozidla</t>
  </si>
  <si>
    <t>Investícia do vybavenia</t>
  </si>
  <si>
    <t>Odpisová skupina 1 (Odpisy 4 roky)</t>
  </si>
  <si>
    <t xml:space="preserve">Podporné kalkulácie </t>
  </si>
  <si>
    <t>Výpočet pracovného kapitálu</t>
  </si>
  <si>
    <t>Preddavky a iné aktíva (ako % z tržieb)</t>
  </si>
  <si>
    <t>Vzniknuté záväzky (ako % z tržieb)</t>
  </si>
  <si>
    <t>Obdobie úrok</t>
  </si>
  <si>
    <t>Obdobie istina</t>
  </si>
  <si>
    <t>Záväzky voči účt. Jednot.</t>
  </si>
  <si>
    <t>Nájom</t>
  </si>
  <si>
    <t>€/mesiac</t>
  </si>
  <si>
    <t>Investícia do technológií</t>
  </si>
  <si>
    <t>Investícia do budovy (rekonštrukcia)</t>
  </si>
  <si>
    <t>Rok čerpania úveru</t>
  </si>
  <si>
    <t xml:space="preserve">Príjemcovia sociálných služieb v zariadení </t>
  </si>
  <si>
    <t>Staroslivosť o staršie osoby a osoby so zdravotným postihnutím v pobytových zariadeniach</t>
  </si>
  <si>
    <t>Slovenský plynárenský priemysel, a.s.</t>
  </si>
  <si>
    <t>Vychodoslovenská energetika, a.s.</t>
  </si>
  <si>
    <t>MäSO  - TATRY, s.r.o.</t>
  </si>
  <si>
    <t>MEGAS TRADE, s.r.o.</t>
  </si>
  <si>
    <t>INMEDIA, spol. s r.o.</t>
  </si>
  <si>
    <t>Ostatné výnosy</t>
  </si>
  <si>
    <t>Ostatné výnosy/ náklady z fin. činnosti</t>
  </si>
  <si>
    <t>XXY s.r.o.</t>
  </si>
  <si>
    <t>Objekt - rekonštrukcia</t>
  </si>
  <si>
    <t>Vozidlá</t>
  </si>
  <si>
    <t>Odpisová skupina 1 (4 roky)</t>
  </si>
  <si>
    <t>- Pôvodné odpisy</t>
  </si>
  <si>
    <t>- Nové odpisy</t>
  </si>
  <si>
    <t>Historické obdobie</t>
  </si>
  <si>
    <t>Ostatné krátkdobé aktíva (accruals/ defferals)</t>
  </si>
  <si>
    <t>Nájom ambulancia</t>
  </si>
  <si>
    <t>Ambulancia nájom</t>
  </si>
  <si>
    <t>Nájmy</t>
  </si>
  <si>
    <t>(fyzio, masáže, kozmetika)</t>
  </si>
  <si>
    <t>Pomocný kuchár</t>
  </si>
  <si>
    <t>Chyžná/ upratovačka</t>
  </si>
  <si>
    <t>https://www.epi.sk/zz/2008-448</t>
  </si>
  <si>
    <t>Vystavané domčeky, spa a ambulancia</t>
  </si>
  <si>
    <t>+ CAPEX</t>
  </si>
  <si>
    <t>odkázanosť II.-III.</t>
  </si>
  <si>
    <t>Hlavná sestra</t>
  </si>
  <si>
    <t>m2</t>
  </si>
  <si>
    <t>Kapacita izby</t>
  </si>
  <si>
    <t>Rezerva</t>
  </si>
  <si>
    <t>Fyzioterapeut</t>
  </si>
  <si>
    <t>Počet domčekov</t>
  </si>
  <si>
    <t>Kapacita na domček</t>
  </si>
  <si>
    <t>Výmera domčeka</t>
  </si>
  <si>
    <t>Ubytovací komplex</t>
  </si>
  <si>
    <t>Apartmány</t>
  </si>
  <si>
    <t>Výmera 1 apartmánu</t>
  </si>
  <si>
    <t>Kapacita osôb na 1 apartmán</t>
  </si>
  <si>
    <t>Kapacity apartmánov</t>
  </si>
  <si>
    <t>Kapacity domčekov</t>
  </si>
  <si>
    <t>Kapacity - Celkovo</t>
  </si>
  <si>
    <t>Kapacity a ceny - ubytovania</t>
  </si>
  <si>
    <t>Kapacity a ceny - SPA</t>
  </si>
  <si>
    <t>Počet izieb</t>
  </si>
  <si>
    <t>Výmera 1 izby</t>
  </si>
  <si>
    <t>Cena za ubytovanie v SPA</t>
  </si>
  <si>
    <t>€/noc</t>
  </si>
  <si>
    <t>Počet vyťažených dní v mesiaci</t>
  </si>
  <si>
    <t>Golfové vozíky (3x)</t>
  </si>
  <si>
    <t>Nábytok - postele</t>
  </si>
  <si>
    <t>Tržby za SPA</t>
  </si>
  <si>
    <t>Kapacita SPA - Celkovo</t>
  </si>
  <si>
    <t>Predaj iných služieb</t>
  </si>
  <si>
    <t>% z tržieb ubytovania</t>
  </si>
  <si>
    <t>Investície</t>
  </si>
  <si>
    <t>Potrebná investícia</t>
  </si>
  <si>
    <t>Celková investícia</t>
  </si>
  <si>
    <t>Jednorázové náklady</t>
  </si>
  <si>
    <t>jednorazovo</t>
  </si>
  <si>
    <t>Sociálne a kultúrne služby</t>
  </si>
  <si>
    <t>Služby a servisné poplatky</t>
  </si>
  <si>
    <t>Čašník</t>
  </si>
  <si>
    <t>Počet personálu podľa zákona</t>
  </si>
  <si>
    <t>Odborník</t>
  </si>
  <si>
    <t>Neodborný personál</t>
  </si>
  <si>
    <t xml:space="preserve">Celkovo </t>
  </si>
  <si>
    <t>bez pozemku</t>
  </si>
  <si>
    <t>dĺžka úveru</t>
  </si>
  <si>
    <t>Služby (manikúra, pedikúra, kaderník)</t>
  </si>
  <si>
    <t>Odčerpateľné peňažné toky (FCFE)</t>
  </si>
  <si>
    <t>- Splácanie úveru (dlhu/ istiny)</t>
  </si>
  <si>
    <t>Indikátory výkonu - KPIs</t>
  </si>
  <si>
    <t>Tržby z služieb (prenájom zariadenia)</t>
  </si>
  <si>
    <t>Detail ŠFRB - DSS</t>
  </si>
  <si>
    <t>Detail ŠFRB - Zariadenie</t>
  </si>
  <si>
    <t>Financovanie ŠFRB - DSS</t>
  </si>
  <si>
    <t>Financovanie ŠFRB - Zariadenie</t>
  </si>
  <si>
    <t>Financovanie banka - Zariadenie a vozidlá</t>
  </si>
  <si>
    <t>Detail banka - Zariadenie a vozidlá</t>
  </si>
  <si>
    <t>Vyhodnotenie ŠFRB - DSS</t>
  </si>
  <si>
    <t>Financovanie banka - Budovy DSS</t>
  </si>
  <si>
    <t>Detail banka - Budovy DSS</t>
  </si>
  <si>
    <t>Dlhová služba (Detail - ŠFRB DSS)</t>
  </si>
  <si>
    <t>Dlhová služba (Detail - ŠFRB Zariadenie)</t>
  </si>
  <si>
    <t>Vyhodnotenie ŠFRB - Zariadenie</t>
  </si>
  <si>
    <t>Dlhová služba (Detail - Banka Budovy DSS)</t>
  </si>
  <si>
    <t>Vyhodnotenie Banka - Budovy DSS</t>
  </si>
  <si>
    <t>Vyhodnotenie Banka - Zariadenie a vozidlá</t>
  </si>
  <si>
    <t>Stav úverov</t>
  </si>
  <si>
    <t>ŠFRB - Budovy DSS</t>
  </si>
  <si>
    <t>ŠFRB - Zariadenie</t>
  </si>
  <si>
    <t>Banka - Budovy DSS</t>
  </si>
  <si>
    <t>Banka - Zariadenie a vozidlá</t>
  </si>
  <si>
    <t>Úvery</t>
  </si>
  <si>
    <t>Splátka istiny - ŠFRB budovy DSS</t>
  </si>
  <si>
    <t>Splátka istiny - ŠFRB zariadenie</t>
  </si>
  <si>
    <t>Splátka istiny - Banka budovy DSS</t>
  </si>
  <si>
    <t>Splátka istiny - Banka zariadenie a vozidlá</t>
  </si>
  <si>
    <t>Istiny</t>
  </si>
  <si>
    <t>Dlhodobé úvery</t>
  </si>
  <si>
    <t>Bankové úvery - Celkovo</t>
  </si>
  <si>
    <t>Finančné náklady - Celkovo</t>
  </si>
  <si>
    <t>Zmluvné servisné poplatky - Zriaďovateľ</t>
  </si>
  <si>
    <t>6 rokov</t>
  </si>
  <si>
    <t>Scenáre - SPV s.r.o.</t>
  </si>
  <si>
    <t>Príjmy za služby</t>
  </si>
  <si>
    <t>Príjmy za tovar a iné</t>
  </si>
  <si>
    <t>Priame výdaje</t>
  </si>
  <si>
    <t>Výdaje na réžiu</t>
  </si>
  <si>
    <t>Osobné výdaje</t>
  </si>
  <si>
    <t>marža (%)</t>
  </si>
  <si>
    <t>Finančné výdaje</t>
  </si>
  <si>
    <t>Zdroje príjmu</t>
  </si>
  <si>
    <t>Príjmy</t>
  </si>
  <si>
    <t>€/mesiac/klient</t>
  </si>
  <si>
    <t>Ostatní zamestnanci mimo starostlivosti</t>
  </si>
  <si>
    <t>Prevádzkar</t>
  </si>
  <si>
    <t>History</t>
  </si>
  <si>
    <t>Projection</t>
  </si>
  <si>
    <t>Legend</t>
  </si>
  <si>
    <t>Editable fields</t>
  </si>
  <si>
    <t>Link to another sheet</t>
  </si>
  <si>
    <t>Formulas</t>
  </si>
  <si>
    <t>Key Assumptions</t>
  </si>
  <si>
    <t>Year of the beginning</t>
  </si>
  <si>
    <t>Days in period</t>
  </si>
  <si>
    <t>Months in period</t>
  </si>
  <si>
    <t>Minimal wage</t>
  </si>
  <si>
    <t>€/ month</t>
  </si>
  <si>
    <t>Average inflation</t>
  </si>
  <si>
    <t>Period</t>
  </si>
  <si>
    <t>Price index</t>
  </si>
  <si>
    <t>https://tradingeconomics.com/slovakia/inflation-cpi</t>
  </si>
  <si>
    <t>General Assumptions</t>
  </si>
  <si>
    <t>Hlavné predpoklady</t>
  </si>
  <si>
    <t>growth</t>
  </si>
  <si>
    <t>Countries</t>
  </si>
  <si>
    <t>SK, CZ</t>
  </si>
  <si>
    <t>DE</t>
  </si>
  <si>
    <t>AT</t>
  </si>
  <si>
    <t>CH</t>
  </si>
  <si>
    <t>Designations</t>
  </si>
  <si>
    <t>Business administration</t>
  </si>
  <si>
    <t>Students ratio</t>
  </si>
  <si>
    <t>MBA - Long term programs</t>
  </si>
  <si>
    <t>DBA - Long term programs</t>
  </si>
  <si>
    <t>English certification</t>
  </si>
  <si>
    <t>Products (prices in €)</t>
  </si>
  <si>
    <t>€/person</t>
  </si>
  <si>
    <t>Students - paying each year</t>
  </si>
  <si>
    <t>Length of the programs</t>
  </si>
  <si>
    <t>months</t>
  </si>
  <si>
    <t>Rrevenues</t>
  </si>
  <si>
    <t>Revenues - Total</t>
  </si>
  <si>
    <t>Revenues from services (programs)</t>
  </si>
  <si>
    <t>English certification - Extra</t>
  </si>
  <si>
    <t>% of total students</t>
  </si>
  <si>
    <t>of total sales</t>
  </si>
  <si>
    <t>Direct costs</t>
  </si>
  <si>
    <t>Lectors and teachers</t>
  </si>
  <si>
    <t>Energy, wifi, other direct costs</t>
  </si>
  <si>
    <t>Direct costs - Total</t>
  </si>
  <si>
    <t>Activation</t>
  </si>
  <si>
    <t>Personnel costs</t>
  </si>
  <si>
    <t>CEO</t>
  </si>
  <si>
    <t>Average brutto salary</t>
  </si>
  <si>
    <t>€/month</t>
  </si>
  <si>
    <t>Marketing director - CMO</t>
  </si>
  <si>
    <t>Coordinator of education</t>
  </si>
  <si>
    <t>Marketing specialist</t>
  </si>
  <si>
    <t>Office manager</t>
  </si>
  <si>
    <t># - Part time (PTE)</t>
  </si>
  <si>
    <t># of employees</t>
  </si>
  <si>
    <t># of FTEs</t>
  </si>
  <si>
    <t># of PTEs</t>
  </si>
  <si>
    <t>Total # of employees</t>
  </si>
  <si>
    <t>Total Personnel Costs</t>
  </si>
  <si>
    <t>Average growth of the minimal wage</t>
  </si>
  <si>
    <t>Multiplicator of brutto salary - FTEs</t>
  </si>
  <si>
    <t>Total yearly brutto salary FTEs</t>
  </si>
  <si>
    <t>Total yearly brutto salary PTEs</t>
  </si>
  <si>
    <t>Personnel costs - Total</t>
  </si>
  <si>
    <t>Multiplicator of brutto salary - PTEs (-625)</t>
  </si>
  <si>
    <t>Operation costs - SG&amp;A</t>
  </si>
  <si>
    <t>Operation costs</t>
  </si>
  <si>
    <t>Rent - Malta</t>
  </si>
  <si>
    <t>Streaming services</t>
  </si>
  <si>
    <t>€/session</t>
  </si>
  <si>
    <t>Streaming services sessions</t>
  </si>
  <si>
    <t>#/sessions/year</t>
  </si>
  <si>
    <t>eLearning platform fees</t>
  </si>
  <si>
    <t>Research and development activities</t>
  </si>
  <si>
    <t>as % of sales</t>
  </si>
  <si>
    <t>Licences and fees</t>
  </si>
  <si>
    <t>IT maintenance</t>
  </si>
  <si>
    <t>Internet and stationaries</t>
  </si>
  <si>
    <t>Admin services (accounting, legal…)</t>
  </si>
  <si>
    <t>Library fees</t>
  </si>
  <si>
    <t>€/year</t>
  </si>
  <si>
    <t>Lectors &amp; Tutors for student works</t>
  </si>
  <si>
    <t>Supporting apps fees</t>
  </si>
  <si>
    <t>Other revenue/ costs</t>
  </si>
  <si>
    <t>Other services</t>
  </si>
  <si>
    <t>Additional products and merch</t>
  </si>
  <si>
    <t>Supporting schedule</t>
  </si>
  <si>
    <t>CAPEX</t>
  </si>
  <si>
    <t>Website</t>
  </si>
  <si>
    <t>Vehicles</t>
  </si>
  <si>
    <t>Servers</t>
  </si>
  <si>
    <t>CAPES - Total</t>
  </si>
  <si>
    <t>Depreciation &amp; Amortization (D&amp;A)</t>
  </si>
  <si>
    <t>Depreciation group 2 (6 years)</t>
  </si>
  <si>
    <t>Depreciation group 1 (4 years)</t>
  </si>
  <si>
    <t>PP&amp;E - Opening</t>
  </si>
  <si>
    <t>PP&amp;E - Closing</t>
  </si>
  <si>
    <t>Mínus D&amp;A</t>
  </si>
  <si>
    <t>Mínus new D&amp;A</t>
  </si>
  <si>
    <t>Sales</t>
  </si>
  <si>
    <t>CoS</t>
  </si>
  <si>
    <t>Total costs</t>
  </si>
  <si>
    <t xml:space="preserve">Assets </t>
  </si>
  <si>
    <t>Trade Receivables - AR</t>
  </si>
  <si>
    <t>Accruals/ defferals</t>
  </si>
  <si>
    <t>Assets - Total</t>
  </si>
  <si>
    <t>Other liabilities</t>
  </si>
  <si>
    <t>Liabilities - Total</t>
  </si>
  <si>
    <t>Net Working Capital</t>
  </si>
  <si>
    <t>% of sales</t>
  </si>
  <si>
    <t>(Growth)/ Loss of working capital</t>
  </si>
  <si>
    <t>Employees</t>
  </si>
  <si>
    <t>Trade receivables (AR) - # of days</t>
  </si>
  <si>
    <t>Inventory days turnover</t>
  </si>
  <si>
    <t>Accruals/ defferals (as % of sales)</t>
  </si>
  <si>
    <t>Trade payables (AP) - # of days</t>
  </si>
  <si>
    <t>Employees (as % of sales)</t>
  </si>
  <si>
    <t>Financial Costs</t>
  </si>
  <si>
    <t>Leasing</t>
  </si>
  <si>
    <t>Financial costs - Total</t>
  </si>
  <si>
    <t>Operation costs (SG&amp;A) - Total</t>
  </si>
  <si>
    <t>Assumptions</t>
  </si>
  <si>
    <t>Description</t>
  </si>
  <si>
    <t>Current scenario</t>
  </si>
  <si>
    <t># of students</t>
  </si>
  <si>
    <t>Realistic - Base</t>
  </si>
  <si>
    <t>Pessimistic - Worst</t>
  </si>
  <si>
    <t># of students growth</t>
  </si>
  <si>
    <t>PhD titles</t>
  </si>
  <si>
    <t>Pricing</t>
  </si>
  <si>
    <t>Financial plan - Scenarios</t>
  </si>
  <si>
    <t>of total products</t>
  </si>
  <si>
    <t>Cost of sales</t>
  </si>
  <si>
    <t>Own Capital - Investment</t>
  </si>
  <si>
    <t>Financial reserve for operation activities</t>
  </si>
  <si>
    <t>Financial support for CAPEX</t>
  </si>
  <si>
    <t>Own capital - Total</t>
  </si>
  <si>
    <t>Cash Flow - Quaterly</t>
  </si>
  <si>
    <t>Key Assumptions (CF)</t>
  </si>
  <si>
    <t>Cash Flow</t>
  </si>
  <si>
    <t>Change in trade receivables (AR)</t>
  </si>
  <si>
    <t>prepayments</t>
  </si>
  <si>
    <t>Change in trade inventories</t>
  </si>
  <si>
    <t>Quaterly cash flow</t>
  </si>
  <si>
    <t>Change in trade payables (AP)</t>
  </si>
  <si>
    <t>Change in accruals/ defferals</t>
  </si>
  <si>
    <t>Net income distribution</t>
  </si>
  <si>
    <t>Trade Payables - AP</t>
  </si>
  <si>
    <t>Change in employee liabilities</t>
  </si>
  <si>
    <t>Change in other liabilities</t>
  </si>
  <si>
    <t>Change in employee payables</t>
  </si>
  <si>
    <t>2024 CAPEX</t>
  </si>
  <si>
    <t>Scenario</t>
  </si>
  <si>
    <t>Income &amp; expenditures</t>
  </si>
  <si>
    <t>Products</t>
  </si>
  <si>
    <t>growth (%)</t>
  </si>
  <si>
    <t>margin (%)</t>
  </si>
  <si>
    <t>Operation costs (SG&amp;A)</t>
  </si>
  <si>
    <t>R&amp;D</t>
  </si>
  <si>
    <t>Licenses &amp; fees</t>
  </si>
  <si>
    <t>IT maintenance &amp; fees</t>
  </si>
  <si>
    <t>Tutors and others</t>
  </si>
  <si>
    <t xml:space="preserve">Operation costs </t>
  </si>
  <si>
    <t>Depreciation &amp; amortization</t>
  </si>
  <si>
    <t>Financial costs</t>
  </si>
  <si>
    <t>Taxes</t>
  </si>
  <si>
    <t>Earnings before tax</t>
  </si>
  <si>
    <t>Year</t>
  </si>
  <si>
    <t>Revenue</t>
  </si>
  <si>
    <t>EBITDA margin (%)</t>
  </si>
  <si>
    <t>EBIT margin (%)</t>
  </si>
  <si>
    <t>Gross margin (%)</t>
  </si>
  <si>
    <t>Gross sales</t>
  </si>
  <si>
    <t># of employees - FTE</t>
  </si>
  <si>
    <t># of employees - PTE</t>
  </si>
  <si>
    <t>Contribution per employee</t>
  </si>
  <si>
    <t>KPI</t>
  </si>
  <si>
    <t>Nemeniť</t>
  </si>
  <si>
    <t>MBA - Dlhodobé programy</t>
  </si>
  <si>
    <t>DBA - Dlhodobé programy</t>
  </si>
  <si>
    <t>PhD - Tituly</t>
  </si>
  <si>
    <t>Certifikácie - anglický jazyk</t>
  </si>
  <si>
    <t>Lektori a učitelia</t>
  </si>
  <si>
    <t>Energia a ostatné priame náklady</t>
  </si>
  <si>
    <t>Vývoj a výskum</t>
  </si>
  <si>
    <t>Licencie &amp; poplatky</t>
  </si>
  <si>
    <t>IT údržba a poplatky</t>
  </si>
  <si>
    <t>Ostatné služby</t>
  </si>
  <si>
    <t>Tútori - oprava prác a iné</t>
  </si>
  <si>
    <t>Ostatné náklady na prevádzku</t>
  </si>
  <si>
    <t>Hospodársky výsledok pred zdanením a odpismi</t>
  </si>
  <si>
    <t>Hospodársky výsledok</t>
  </si>
  <si>
    <t># zamestnanci - trvalý pracovný pomer</t>
  </si>
  <si>
    <t># zamestnanci - čiastočný úväzok (dohodári)</t>
  </si>
  <si>
    <t>Podiel zamestnanca na tržbách</t>
  </si>
  <si>
    <t>Platiaci študentu - každý rok</t>
  </si>
  <si>
    <t>rast</t>
  </si>
  <si>
    <t>Krajiny</t>
  </si>
  <si>
    <t>Špecializácia</t>
  </si>
  <si>
    <t>Pomer študentov</t>
  </si>
  <si>
    <t>Produkty/ služby (cena v €)</t>
  </si>
  <si>
    <t>Dĺžka programu</t>
  </si>
  <si>
    <t>Streamovacie služby</t>
  </si>
  <si>
    <t>Tržby z predaja tovarov a iné</t>
  </si>
  <si>
    <t>Marketingový riaditeľ - CMO</t>
  </si>
  <si>
    <t>Koordinátor vzdelávania</t>
  </si>
  <si>
    <t>Marketingový špecialista</t>
  </si>
  <si>
    <t>Asistent</t>
  </si>
  <si>
    <t>počet zamestnancov</t>
  </si>
  <si>
    <t># TPP</t>
  </si>
  <si>
    <t>Celkový počet zamestnancov</t>
  </si>
  <si>
    <t>Ročná celková hrubá mzda - TPP</t>
  </si>
  <si>
    <t>Ročná celková hrubá mzda - Dohodári</t>
  </si>
  <si>
    <t>Multiplikátor superhrubej mzdy - TPP</t>
  </si>
  <si>
    <t>Multiplikátor superhrubej mzdy - Dohodári</t>
  </si>
  <si>
    <t>Stramovacie služby</t>
  </si>
  <si>
    <t>Poplatky za eLearning platformu</t>
  </si>
  <si>
    <t>Výskum a vývoj</t>
  </si>
  <si>
    <t>Licencie a poplatky</t>
  </si>
  <si>
    <t>IT údržba</t>
  </si>
  <si>
    <t>Internet a kancelárske potreby</t>
  </si>
  <si>
    <t>Energy and other direct costs</t>
  </si>
  <si>
    <t>Administratívne služby (účto., právne a iné)</t>
  </si>
  <si>
    <t>Poplatky za knižnice</t>
  </si>
  <si>
    <t>Poplatky za lektorov</t>
  </si>
  <si>
    <t>Poplatky za podporné aplikácie</t>
  </si>
  <si>
    <t>Webstránka</t>
  </si>
  <si>
    <t>Servery</t>
  </si>
  <si>
    <t>Vlastný kapitál</t>
  </si>
  <si>
    <t>Finančná rezerva na prevádzku</t>
  </si>
  <si>
    <t>Financie na investície</t>
  </si>
  <si>
    <t>Vlastný kapitál - Celkovo</t>
  </si>
  <si>
    <t>Investícia do softvéru</t>
  </si>
  <si>
    <t>Leasingy</t>
  </si>
  <si>
    <t>Kľúčové predpoklady (CF)</t>
  </si>
  <si>
    <t>Rozdelenie čistého príjmu</t>
  </si>
  <si>
    <t>Zmena v obchodných pohľadávkach</t>
  </si>
  <si>
    <t>Zmena v zásobách</t>
  </si>
  <si>
    <t>Zmena v ostatných aktívach</t>
  </si>
  <si>
    <t>Zmena v obchodných záväzkoch</t>
  </si>
  <si>
    <t>Zmena v záväzkoch voči zamestnancom</t>
  </si>
  <si>
    <t>Zmena v ostatných záväzkoch</t>
  </si>
  <si>
    <t>Kvartálny Cash Flow</t>
  </si>
  <si>
    <t>Čistý príjem</t>
  </si>
  <si>
    <t>Zmena v investíciách</t>
  </si>
  <si>
    <t>Zmena v bankových úveroch</t>
  </si>
  <si>
    <t>Zmena v dlhodobých záväzkoch</t>
  </si>
  <si>
    <t>Celkový cash flow</t>
  </si>
  <si>
    <t>Stav peňažných prostriedkov na začiatku obdobia</t>
  </si>
  <si>
    <t>Stav peňažných prostriedkov na konci obdobia</t>
  </si>
  <si>
    <t>Trh</t>
  </si>
  <si>
    <t>Revenue in the Online University Education market is projected to reach US$11.82bn in 2024.</t>
  </si>
  <si>
    <t>Revenue is expected to show an annual growth rate (CAGR 2024-2029) of 8.19%, resulting in a projected market volume of US$17.52bn by 2029.</t>
  </si>
  <si>
    <t>In the Online University Education market, the number of users is expected to amount to 4.8m users by 2029.</t>
  </si>
  <si>
    <t>User penetration will be 1.1% in 2024 and is expected to hit 1.5% by 2029.</t>
  </si>
  <si>
    <t>The average revenue per user (ARPU) is expected to amount to US$3.48k.</t>
  </si>
  <si>
    <t>In global comparison, most revenue will be generated in the United States (US$82.30bn in 2024).</t>
  </si>
  <si>
    <t>With a projected rate of 2.3%, the user penetration in the Online University Education market is highest in the United States.</t>
  </si>
  <si>
    <t>2017-2024</t>
  </si>
  <si>
    <t>2017-2029</t>
  </si>
  <si>
    <t>2024-2029</t>
  </si>
  <si>
    <t>https://www.statista.com/outlook/emo/online-education/europe#revenue</t>
  </si>
  <si>
    <t>https://fr.statista.com/outlook/dmo/eservices/online-education/online-university-education/europe</t>
  </si>
  <si>
    <t>Príjmy za lektorov (tutition fees)</t>
  </si>
  <si>
    <t>Extra doučovanie</t>
  </si>
  <si>
    <t>Výsledovka</t>
  </si>
  <si>
    <t>Churn rate (iba programy)</t>
  </si>
  <si>
    <t># Dohodári (PTE)</t>
  </si>
  <si>
    <t>Choice of scenario -&gt;</t>
  </si>
  <si>
    <t>Base</t>
  </si>
  <si>
    <t>Worst</t>
  </si>
  <si>
    <t>MBA -programs</t>
  </si>
  <si>
    <t>DBA - programs</t>
  </si>
  <si>
    <t>PhD -programs</t>
  </si>
  <si>
    <t>Calculation</t>
  </si>
  <si>
    <t>MBA - programs</t>
  </si>
  <si>
    <t>PhD - programs</t>
  </si>
  <si>
    <t>Assumptions:</t>
  </si>
  <si>
    <t>Project period</t>
  </si>
  <si>
    <t>Sales (excluding subsidies)</t>
  </si>
  <si>
    <t>Assets - Current assets</t>
  </si>
  <si>
    <t>Stocks</t>
  </si>
  <si>
    <t>Other short-term assets (accruals/defferals)</t>
  </si>
  <si>
    <t>Accounts payable</t>
  </si>
  <si>
    <t>Business commitmens</t>
  </si>
  <si>
    <t>Commitments to employees</t>
  </si>
  <si>
    <t>Other commitments</t>
  </si>
  <si>
    <t>Commitments - total</t>
  </si>
  <si>
    <t>(Increase)/decrease of working capital</t>
  </si>
  <si>
    <t>Assumption</t>
  </si>
  <si>
    <t>Number of days of stock turnover</t>
  </si>
  <si>
    <t>Other debts</t>
  </si>
  <si>
    <t>Other current assets (% of sales)</t>
  </si>
  <si>
    <t>Accounts payable (AP) - number of days</t>
  </si>
  <si>
    <t>Payables to employees (% of sales)</t>
  </si>
  <si>
    <t>Other payables (% of sales)</t>
  </si>
  <si>
    <t>Accounts receivable (AR) - number of days</t>
  </si>
  <si>
    <t>Scenarios</t>
  </si>
  <si>
    <t>Number of students</t>
  </si>
  <si>
    <t>Growth in number of students</t>
  </si>
  <si>
    <t>Student ratio</t>
  </si>
  <si>
    <t>MBA</t>
  </si>
  <si>
    <t>DBA</t>
  </si>
  <si>
    <t xml:space="preserve">PhD </t>
  </si>
  <si>
    <t>Certifications - English language</t>
  </si>
  <si>
    <t xml:space="preserve">MBA </t>
  </si>
  <si>
    <t>EU market size of online universities</t>
  </si>
  <si>
    <t>Market</t>
  </si>
  <si>
    <t>$ in billions</t>
  </si>
  <si>
    <t>€ in billions</t>
  </si>
  <si>
    <t>Income per student in thous.</t>
  </si>
  <si>
    <t>in thous. $</t>
  </si>
  <si>
    <t>in thous. €</t>
  </si>
  <si>
    <t>FINACIAL PLAN</t>
  </si>
  <si>
    <t>The "Projections" tab is there to project the main P&amp;L, Balance Sheet and Cash Flow statements</t>
  </si>
  <si>
    <t>The "P&amp;L Short" tab is an abbreviated summary of income and expenses.</t>
  </si>
  <si>
    <t>The "Assumptions" tab is a detailed summary of all assumptions, income and expenses</t>
  </si>
  <si>
    <t>The "Cash Flow_Quarterly" tab is the cash flow by quarter for the first 3 years</t>
  </si>
  <si>
    <r>
      <t>The "</t>
    </r>
    <r>
      <rPr>
        <b/>
        <sz val="11"/>
        <color theme="1"/>
        <rFont val="Calibri"/>
        <family val="2"/>
        <charset val="238"/>
        <scheme val="minor"/>
      </rPr>
      <t>Scenario</t>
    </r>
    <r>
      <rPr>
        <sz val="11"/>
        <color theme="1"/>
        <rFont val="Calibri"/>
        <family val="2"/>
        <scheme val="minor"/>
      </rPr>
      <t>" tab has the option to switch between 2 scenarios (realistic and optimistic), switching in the "Projections" tab via cell K4</t>
    </r>
  </si>
  <si>
    <r>
      <t>The "</t>
    </r>
    <r>
      <rPr>
        <b/>
        <sz val="11"/>
        <color theme="1"/>
        <rFont val="Calibri"/>
        <family val="2"/>
        <charset val="238"/>
        <scheme val="minor"/>
      </rPr>
      <t>Title</t>
    </r>
    <r>
      <rPr>
        <sz val="11"/>
        <color theme="1"/>
        <rFont val="Calibri"/>
        <family val="2"/>
        <scheme val="minor"/>
      </rPr>
      <t>" tab is used to switch between the main tabs according to the input</t>
    </r>
  </si>
  <si>
    <r>
      <t>The "</t>
    </r>
    <r>
      <rPr>
        <b/>
        <sz val="11"/>
        <color theme="1"/>
        <rFont val="Calibri"/>
        <family val="2"/>
        <charset val="238"/>
        <scheme val="minor"/>
      </rPr>
      <t>Projections</t>
    </r>
    <r>
      <rPr>
        <sz val="11"/>
        <color theme="1"/>
        <rFont val="Calibri"/>
        <family val="2"/>
        <scheme val="minor"/>
      </rPr>
      <t>" tab is there to project the main P&amp;L, Balance Sheet and Cash Flow statements</t>
    </r>
  </si>
  <si>
    <r>
      <t>The "</t>
    </r>
    <r>
      <rPr>
        <b/>
        <sz val="11"/>
        <color theme="1"/>
        <rFont val="Calibri"/>
        <family val="2"/>
        <charset val="238"/>
        <scheme val="minor"/>
      </rPr>
      <t>P&amp;L Short</t>
    </r>
    <r>
      <rPr>
        <sz val="11"/>
        <color theme="1"/>
        <rFont val="Calibri"/>
        <family val="2"/>
        <scheme val="minor"/>
      </rPr>
      <t>" tab is an abbreviated summary of income and expenses</t>
    </r>
  </si>
  <si>
    <r>
      <t>The "</t>
    </r>
    <r>
      <rPr>
        <b/>
        <sz val="11"/>
        <color theme="1"/>
        <rFont val="Calibri"/>
        <family val="2"/>
        <charset val="238"/>
        <scheme val="minor"/>
      </rPr>
      <t>Assumptions</t>
    </r>
    <r>
      <rPr>
        <sz val="11"/>
        <color theme="1"/>
        <rFont val="Calibri"/>
        <family val="2"/>
        <scheme val="minor"/>
      </rPr>
      <t>" tab is a detailed summary of all assumptions, income and expenses</t>
    </r>
  </si>
  <si>
    <r>
      <t>The "</t>
    </r>
    <r>
      <rPr>
        <b/>
        <sz val="11"/>
        <color theme="1"/>
        <rFont val="Calibri"/>
        <family val="2"/>
        <charset val="238"/>
        <scheme val="minor"/>
      </rPr>
      <t>Cash Flow_Quarterly</t>
    </r>
    <r>
      <rPr>
        <sz val="11"/>
        <color theme="1"/>
        <rFont val="Calibri"/>
        <family val="2"/>
        <scheme val="minor"/>
      </rPr>
      <t>" tab is the cash flow by quarter for the first 3 years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</si>
</sst>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8">
    <numFmt numFmtId="8" formatCode="#,##0.00\ &quot;€&quot;;[Red]\-#,##0.00\ &quot;€&quot;"/>
    <numFmt numFmtId="41" formatCode="_-* #,##0_-;\-* #,##0_-;_-* &quot;-&quot;_-;_-@_-"/>
    <numFmt numFmtId="44" formatCode="_-* #,##0.00\ &quot;€&quot;_-;\-* #,##0.00\ &quot;€&quot;_-;_-* &quot;-&quot;??\ &quot;€&quot;_-;_-@_-"/>
    <numFmt numFmtId="43" formatCode="_-* #,##0.00_-;\-* #,##0.00_-;_-* &quot;-&quot;??_-;_-@_-"/>
    <numFmt numFmtId="164" formatCode="_-* #,##0.00\ _€_-;\-* #,##0.00\ _€_-;_-* &quot;-&quot;??\ _€_-;_-@_-"/>
    <numFmt numFmtId="165" formatCode="#,##0.0"/>
    <numFmt numFmtId="166" formatCode="#,##0_);\(#,##0\);\-;@\ "/>
    <numFmt numFmtId="167" formatCode="#,##0_ ;[Red]\-#,##0\ "/>
    <numFmt numFmtId="168" formatCode="#,##0.0%;\-#,##0.0%;\-;@"/>
    <numFmt numFmtId="169" formatCode="0.0%"/>
    <numFmt numFmtId="170" formatCode="#,##0.000"/>
    <numFmt numFmtId="171" formatCode="#,##0;\(#,##0\);\ \-\ "/>
    <numFmt numFmtId="172" formatCode="#,##0%;\(#,##0%\);\ \-\ "/>
    <numFmt numFmtId="173" formatCode="#,##0;\(#,##0\);\ \-"/>
    <numFmt numFmtId="174" formatCode="#,##0.0\x;\(#,##0.0\x\);\ \-\ "/>
    <numFmt numFmtId="175" formatCode="_-* #,##0_-;\(#,##0\)_-;_-* &quot;-&quot;_-;_-@_-"/>
    <numFmt numFmtId="176" formatCode="#,##0;\(#,##0\);\-\ "/>
    <numFmt numFmtId="177" formatCode="###0"/>
    <numFmt numFmtId="178" formatCode="#,##0;\(#,##0\);\-"/>
    <numFmt numFmtId="179" formatCode="#,##0.00;\(#,##0.00\);\-"/>
    <numFmt numFmtId="180" formatCode="_-* #,##0.00_-;\(#,##0.00\)_-;_-* &quot;-&quot;_-;_-@_-"/>
    <numFmt numFmtId="181" formatCode="#,##0.0;\(#,##0.0\);\-"/>
    <numFmt numFmtId="182" formatCode="[$-409]dd\-mmm\-yy;@"/>
    <numFmt numFmtId="183" formatCode="#,##0.00\ &quot;€&quot;"/>
    <numFmt numFmtId="184" formatCode="_-* #,##0.0_-;\(#,##0.0\)_-;_-* &quot;-&quot;_-;_-@_-"/>
    <numFmt numFmtId="185" formatCode="0.000%"/>
    <numFmt numFmtId="186" formatCode="0.0"/>
    <numFmt numFmtId="187" formatCode="&quot;Q&quot;0"/>
  </numFmts>
  <fonts count="100" x14ac:knownFonts="1">
    <font>
      <sz val="10"/>
      <color theme="1"/>
      <name val="Arial"/>
      <family val="2"/>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8"/>
      <color theme="1"/>
      <name val="Arial"/>
      <family val="2"/>
      <charset val="238"/>
    </font>
    <font>
      <sz val="11"/>
      <color theme="1"/>
      <name val="Calibri"/>
      <family val="2"/>
      <charset val="238"/>
      <scheme val="minor"/>
    </font>
    <font>
      <sz val="11"/>
      <color theme="1"/>
      <name val="Calibri"/>
      <family val="2"/>
      <charset val="238"/>
      <scheme val="minor"/>
    </font>
    <font>
      <b/>
      <sz val="8"/>
      <color rgb="FFFFFFFF"/>
      <name val="Arial"/>
      <family val="2"/>
      <charset val="238"/>
    </font>
    <font>
      <b/>
      <sz val="8"/>
      <color rgb="FF000000"/>
      <name val="Arial"/>
      <family val="2"/>
      <charset val="238"/>
    </font>
    <font>
      <b/>
      <sz val="8"/>
      <color rgb="FF00338D"/>
      <name val="Arial"/>
      <family val="2"/>
      <charset val="238"/>
    </font>
    <font>
      <sz val="8"/>
      <color rgb="FFFF0000"/>
      <name val="Arial"/>
      <family val="2"/>
      <charset val="238"/>
    </font>
    <font>
      <b/>
      <sz val="8"/>
      <color theme="1"/>
      <name val="Arial"/>
      <family val="2"/>
      <charset val="238"/>
    </font>
    <font>
      <sz val="8"/>
      <color rgb="FF00B050"/>
      <name val="Arial"/>
      <family val="2"/>
      <charset val="238"/>
    </font>
    <font>
      <sz val="8"/>
      <name val="Arial"/>
      <family val="2"/>
      <charset val="238"/>
    </font>
    <font>
      <sz val="8"/>
      <color rgb="FF000000"/>
      <name val="Arial"/>
      <family val="2"/>
      <charset val="238"/>
    </font>
    <font>
      <sz val="8"/>
      <color rgb="FF0000FF"/>
      <name val="Arial"/>
      <family val="2"/>
      <charset val="238"/>
    </font>
    <font>
      <b/>
      <sz val="8"/>
      <name val="Arial"/>
      <family val="2"/>
      <charset val="238"/>
    </font>
    <font>
      <b/>
      <sz val="8"/>
      <color rgb="FFFF0000"/>
      <name val="Arial"/>
      <family val="2"/>
      <charset val="238"/>
    </font>
    <font>
      <b/>
      <sz val="8"/>
      <color indexed="9"/>
      <name val="Arial"/>
      <family val="2"/>
      <charset val="238"/>
    </font>
    <font>
      <i/>
      <sz val="8"/>
      <name val="Arial"/>
      <family val="2"/>
      <charset val="238"/>
    </font>
    <font>
      <b/>
      <i/>
      <sz val="8"/>
      <name val="Arial"/>
      <family val="2"/>
      <charset val="238"/>
    </font>
    <font>
      <i/>
      <sz val="8"/>
      <color rgb="FFFF0000"/>
      <name val="Arial"/>
      <family val="2"/>
      <charset val="238"/>
    </font>
    <font>
      <sz val="9"/>
      <color theme="1"/>
      <name val="Calibri"/>
      <family val="2"/>
      <charset val="238"/>
      <scheme val="minor"/>
    </font>
    <font>
      <sz val="9"/>
      <color rgb="FF0000FF"/>
      <name val="Calibri"/>
      <family val="2"/>
      <charset val="238"/>
      <scheme val="minor"/>
    </font>
    <font>
      <b/>
      <sz val="9"/>
      <name val="Calibri"/>
      <family val="2"/>
      <charset val="238"/>
    </font>
    <font>
      <b/>
      <sz val="9"/>
      <color rgb="FF0000FF"/>
      <name val="Calibri"/>
      <family val="2"/>
      <charset val="238"/>
    </font>
    <font>
      <sz val="9"/>
      <color rgb="FF43B02A"/>
      <name val="Calibri"/>
      <family val="2"/>
      <charset val="238"/>
      <scheme val="minor"/>
    </font>
    <font>
      <sz val="9"/>
      <name val="Calibri"/>
      <family val="2"/>
      <charset val="238"/>
      <scheme val="minor"/>
    </font>
    <font>
      <sz val="9"/>
      <color rgb="FFFF0000"/>
      <name val="Calibri"/>
      <family val="2"/>
      <charset val="238"/>
      <scheme val="minor"/>
    </font>
    <font>
      <b/>
      <sz val="9"/>
      <name val="Calibri"/>
      <family val="2"/>
    </font>
    <font>
      <sz val="10"/>
      <name val="Arial"/>
      <family val="2"/>
      <charset val="238"/>
    </font>
    <font>
      <sz val="10"/>
      <name val="Arial"/>
      <family val="2"/>
      <charset val="238"/>
    </font>
    <font>
      <sz val="8"/>
      <color rgb="FF00338D"/>
      <name val="Arial"/>
      <family val="2"/>
      <charset val="238"/>
    </font>
    <font>
      <sz val="11"/>
      <color theme="1"/>
      <name val="Calibri"/>
      <family val="2"/>
      <scheme val="minor"/>
    </font>
    <font>
      <b/>
      <sz val="10"/>
      <color theme="1"/>
      <name val="Arial"/>
      <family val="2"/>
      <charset val="238"/>
    </font>
    <font>
      <sz val="10"/>
      <color theme="1"/>
      <name val="Arial"/>
      <family val="2"/>
    </font>
    <font>
      <sz val="11"/>
      <color indexed="8"/>
      <name val="Calibri"/>
      <family val="2"/>
      <scheme val="minor"/>
    </font>
    <font>
      <sz val="10"/>
      <name val="Arial CE"/>
      <family val="2"/>
      <charset val="238"/>
    </font>
    <font>
      <sz val="11"/>
      <color indexed="8"/>
      <name val="Calibri"/>
      <family val="2"/>
      <charset val="238"/>
    </font>
    <font>
      <sz val="10"/>
      <name val="Arial"/>
      <family val="2"/>
      <charset val="238"/>
    </font>
    <font>
      <b/>
      <sz val="8"/>
      <color rgb="FF0000FF"/>
      <name val="Arial"/>
      <family val="2"/>
      <charset val="238"/>
    </font>
    <font>
      <sz val="11"/>
      <name val="Calibri"/>
      <family val="2"/>
      <charset val="238"/>
    </font>
    <font>
      <b/>
      <sz val="8"/>
      <color rgb="FF00587A"/>
      <name val="Arial"/>
      <family val="2"/>
      <charset val="238"/>
    </font>
    <font>
      <b/>
      <sz val="8"/>
      <color rgb="FF002060"/>
      <name val="Arial"/>
      <family val="2"/>
      <charset val="238"/>
    </font>
    <font>
      <i/>
      <sz val="8"/>
      <color rgb="FF000000"/>
      <name val="Arial"/>
      <family val="2"/>
      <charset val="238"/>
    </font>
    <font>
      <b/>
      <sz val="8"/>
      <color theme="0"/>
      <name val="Arial"/>
      <family val="2"/>
      <charset val="238"/>
    </font>
    <font>
      <sz val="8"/>
      <color rgb="FF00587A"/>
      <name val="Arial"/>
      <family val="2"/>
      <charset val="238"/>
    </font>
    <font>
      <i/>
      <sz val="8"/>
      <color rgb="FF002060"/>
      <name val="Arial"/>
      <family val="2"/>
      <charset val="238"/>
    </font>
    <font>
      <sz val="8"/>
      <color indexed="9"/>
      <name val="Arial"/>
      <family val="2"/>
      <charset val="238"/>
    </font>
    <font>
      <sz val="8"/>
      <color rgb="FF43B02A"/>
      <name val="Arial"/>
      <family val="2"/>
      <charset val="238"/>
    </font>
    <font>
      <b/>
      <sz val="8"/>
      <color rgb="FF43B02A"/>
      <name val="Arial"/>
      <family val="2"/>
      <charset val="238"/>
    </font>
    <font>
      <i/>
      <sz val="8"/>
      <color rgb="FF43B02A"/>
      <name val="Arial"/>
      <family val="2"/>
      <charset val="238"/>
    </font>
    <font>
      <b/>
      <sz val="9"/>
      <color theme="0"/>
      <name val="Arial"/>
      <family val="2"/>
      <charset val="238"/>
    </font>
    <font>
      <sz val="8"/>
      <color theme="0"/>
      <name val="Arial"/>
      <family val="2"/>
      <charset val="238"/>
    </font>
    <font>
      <sz val="24"/>
      <color rgb="FF00338D"/>
      <name val="Arial"/>
      <family val="2"/>
      <charset val="238"/>
    </font>
    <font>
      <sz val="11"/>
      <color rgb="FF00338D"/>
      <name val="Arial"/>
      <family val="2"/>
      <charset val="238"/>
    </font>
    <font>
      <sz val="14"/>
      <color rgb="FF00338D"/>
      <name val="Arial"/>
      <family val="2"/>
      <charset val="238"/>
    </font>
    <font>
      <sz val="10"/>
      <color rgb="FF00338D"/>
      <name val="Arial"/>
      <family val="2"/>
      <charset val="238"/>
    </font>
    <font>
      <b/>
      <i/>
      <sz val="8"/>
      <color theme="0"/>
      <name val="Arial"/>
      <family val="2"/>
      <charset val="238"/>
    </font>
    <font>
      <i/>
      <sz val="8"/>
      <color theme="1"/>
      <name val="Arial"/>
      <family val="2"/>
      <charset val="238"/>
    </font>
    <font>
      <sz val="9"/>
      <color theme="1"/>
      <name val="Calibri"/>
      <family val="2"/>
      <scheme val="minor"/>
    </font>
    <font>
      <sz val="8"/>
      <color theme="1"/>
      <name val="Arial"/>
      <family val="2"/>
    </font>
    <font>
      <sz val="9"/>
      <color indexed="81"/>
      <name val="Segoe UI"/>
      <family val="2"/>
      <charset val="238"/>
    </font>
    <font>
      <b/>
      <sz val="9"/>
      <color indexed="81"/>
      <name val="Segoe UI"/>
      <family val="2"/>
      <charset val="238"/>
    </font>
    <font>
      <sz val="8"/>
      <color rgb="FF0000FA"/>
      <name val="Arial"/>
      <family val="2"/>
      <charset val="238"/>
    </font>
    <font>
      <sz val="8"/>
      <color rgb="FF0000FF"/>
      <name val="Arial"/>
      <family val="2"/>
    </font>
    <font>
      <u/>
      <sz val="8"/>
      <color rgb="FF0000FF"/>
      <name val="Arial"/>
      <family val="2"/>
    </font>
    <font>
      <sz val="6"/>
      <color theme="1"/>
      <name val="Arial"/>
      <family val="2"/>
    </font>
    <font>
      <i/>
      <sz val="6"/>
      <color theme="1"/>
      <name val="Arial"/>
      <family val="2"/>
      <charset val="238"/>
    </font>
    <font>
      <sz val="8"/>
      <color rgb="FF00B050"/>
      <name val="Arial"/>
      <family val="2"/>
    </font>
    <font>
      <sz val="6"/>
      <name val="Arial"/>
      <family val="2"/>
      <charset val="238"/>
    </font>
    <font>
      <u/>
      <sz val="10"/>
      <color theme="10"/>
      <name val="Arial"/>
      <family val="2"/>
    </font>
    <font>
      <sz val="6"/>
      <color theme="1"/>
      <name val="Arial"/>
      <family val="2"/>
      <charset val="238"/>
    </font>
    <font>
      <b/>
      <i/>
      <sz val="6"/>
      <color theme="1"/>
      <name val="Arial"/>
      <family val="2"/>
      <charset val="238"/>
    </font>
    <font>
      <b/>
      <sz val="8"/>
      <color theme="0"/>
      <name val="Arial"/>
      <family val="2"/>
    </font>
    <font>
      <u/>
      <sz val="6"/>
      <color theme="10"/>
      <name val="Arial"/>
      <family val="2"/>
    </font>
    <font>
      <b/>
      <sz val="10"/>
      <color theme="0"/>
      <name val="Arial"/>
      <family val="2"/>
      <charset val="238"/>
    </font>
    <font>
      <b/>
      <i/>
      <sz val="8"/>
      <color theme="1"/>
      <name val="Arial"/>
      <family val="2"/>
      <charset val="238"/>
    </font>
    <font>
      <i/>
      <sz val="11"/>
      <color theme="1"/>
      <name val="Calibri"/>
      <family val="2"/>
      <charset val="238"/>
      <scheme val="minor"/>
    </font>
    <font>
      <i/>
      <sz val="8"/>
      <color theme="0"/>
      <name val="Arial"/>
      <family val="2"/>
      <charset val="238"/>
    </font>
    <font>
      <sz val="8"/>
      <color theme="0" tint="-0.249977111117893"/>
      <name val="Arial"/>
      <family val="2"/>
      <charset val="238"/>
    </font>
    <font>
      <sz val="9"/>
      <color rgb="FF455F7C"/>
      <name val="Arial"/>
      <family val="2"/>
      <charset val="238"/>
    </font>
    <font>
      <u/>
      <sz val="8"/>
      <color theme="10"/>
      <name val="Arial"/>
      <family val="2"/>
    </font>
    <font>
      <b/>
      <sz val="11"/>
      <color theme="1"/>
      <name val="Calibri"/>
      <family val="2"/>
      <charset val="238"/>
      <scheme val="minor"/>
    </font>
    <font>
      <sz val="36"/>
      <color theme="1"/>
      <name val="Calibri"/>
      <family val="2"/>
      <scheme val="minor"/>
    </font>
  </fonts>
  <fills count="19">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00587A"/>
        <bgColor indexed="64"/>
      </patternFill>
    </fill>
    <fill>
      <patternFill patternType="solid">
        <fgColor rgb="FF00587A"/>
        <bgColor rgb="FF00587A"/>
      </patternFill>
    </fill>
    <fill>
      <patternFill patternType="solid">
        <fgColor rgb="FF0F3057"/>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0" tint="-0.499984740745262"/>
        <bgColor indexed="64"/>
      </patternFill>
    </fill>
  </fills>
  <borders count="161">
    <border>
      <left/>
      <right/>
      <top/>
      <bottom/>
      <diagonal/>
    </border>
    <border>
      <left/>
      <right/>
      <top style="thin">
        <color indexed="24"/>
      </top>
      <bottom/>
      <diagonal/>
    </border>
    <border>
      <left/>
      <right style="thin">
        <color indexed="24"/>
      </right>
      <top/>
      <bottom/>
      <diagonal/>
    </border>
    <border>
      <left/>
      <right/>
      <top/>
      <bottom style="thin">
        <color indexed="24"/>
      </bottom>
      <diagonal/>
    </border>
    <border>
      <left/>
      <right/>
      <top/>
      <bottom style="thin">
        <color rgb="FF00338D"/>
      </bottom>
      <diagonal/>
    </border>
    <border>
      <left/>
      <right style="thin">
        <color indexed="24"/>
      </right>
      <top style="thin">
        <color indexed="24"/>
      </top>
      <bottom/>
      <diagonal/>
    </border>
    <border>
      <left style="thin">
        <color indexed="64"/>
      </left>
      <right/>
      <top/>
      <bottom/>
      <diagonal/>
    </border>
    <border>
      <left style="thin">
        <color rgb="FF00338D"/>
      </left>
      <right/>
      <top/>
      <bottom/>
      <diagonal/>
    </border>
    <border>
      <left/>
      <right style="thin">
        <color rgb="FF00338D"/>
      </right>
      <top/>
      <bottom/>
      <diagonal/>
    </border>
    <border>
      <left style="dotted">
        <color auto="1"/>
      </left>
      <right style="dotted">
        <color auto="1"/>
      </right>
      <top style="dotted">
        <color auto="1"/>
      </top>
      <bottom style="dotted">
        <color auto="1"/>
      </bottom>
      <diagonal/>
    </border>
    <border>
      <left style="thin">
        <color rgb="FF002060"/>
      </left>
      <right/>
      <top/>
      <bottom/>
      <diagonal/>
    </border>
    <border>
      <left style="thin">
        <color indexed="24"/>
      </left>
      <right/>
      <top/>
      <bottom/>
      <diagonal/>
    </border>
    <border>
      <left/>
      <right/>
      <top style="thin">
        <color indexed="24"/>
      </top>
      <bottom style="thin">
        <color rgb="FF00338D"/>
      </bottom>
      <diagonal/>
    </border>
    <border>
      <left/>
      <right/>
      <top style="thin">
        <color indexed="24"/>
      </top>
      <bottom/>
      <diagonal/>
    </border>
    <border>
      <left style="thin">
        <color rgb="FF00587A"/>
      </left>
      <right/>
      <top style="thin">
        <color rgb="FF00587A"/>
      </top>
      <bottom/>
      <diagonal/>
    </border>
    <border>
      <left/>
      <right/>
      <top style="thin">
        <color rgb="FF00587A"/>
      </top>
      <bottom/>
      <diagonal/>
    </border>
    <border>
      <left/>
      <right style="thin">
        <color rgb="FF00587A"/>
      </right>
      <top style="thin">
        <color rgb="FF00587A"/>
      </top>
      <bottom/>
      <diagonal/>
    </border>
    <border>
      <left style="thin">
        <color rgb="FF00587A"/>
      </left>
      <right/>
      <top style="thin">
        <color rgb="FF00587A"/>
      </top>
      <bottom style="thin">
        <color rgb="FF00587A"/>
      </bottom>
      <diagonal/>
    </border>
    <border>
      <left/>
      <right/>
      <top style="thin">
        <color rgb="FF00587A"/>
      </top>
      <bottom style="thin">
        <color rgb="FF00587A"/>
      </bottom>
      <diagonal/>
    </border>
    <border>
      <left/>
      <right style="thin">
        <color rgb="FF00587A"/>
      </right>
      <top style="thin">
        <color rgb="FF00587A"/>
      </top>
      <bottom style="thin">
        <color rgb="FF00587A"/>
      </bottom>
      <diagonal/>
    </border>
    <border>
      <left style="thin">
        <color rgb="FF00587A"/>
      </left>
      <right/>
      <top/>
      <bottom/>
      <diagonal/>
    </border>
    <border>
      <left/>
      <right style="thin">
        <color rgb="FF00587A"/>
      </right>
      <top/>
      <bottom/>
      <diagonal/>
    </border>
    <border>
      <left style="thin">
        <color rgb="FF00587A"/>
      </left>
      <right/>
      <top style="thin">
        <color rgb="FF00587A"/>
      </top>
      <bottom style="medium">
        <color rgb="FF00587A"/>
      </bottom>
      <diagonal/>
    </border>
    <border>
      <left/>
      <right/>
      <top style="thin">
        <color rgb="FF00587A"/>
      </top>
      <bottom style="medium">
        <color rgb="FF00587A"/>
      </bottom>
      <diagonal/>
    </border>
    <border>
      <left/>
      <right style="thin">
        <color rgb="FF00587A"/>
      </right>
      <top style="thin">
        <color rgb="FF00587A"/>
      </top>
      <bottom style="medium">
        <color rgb="FF00587A"/>
      </bottom>
      <diagonal/>
    </border>
    <border>
      <left style="thin">
        <color rgb="FF00587A"/>
      </left>
      <right/>
      <top/>
      <bottom style="medium">
        <color rgb="FF00587A"/>
      </bottom>
      <diagonal/>
    </border>
    <border>
      <left/>
      <right/>
      <top/>
      <bottom style="medium">
        <color rgb="FF00587A"/>
      </bottom>
      <diagonal/>
    </border>
    <border>
      <left/>
      <right style="thin">
        <color rgb="FF00587A"/>
      </right>
      <top/>
      <bottom style="medium">
        <color rgb="FF00587A"/>
      </bottom>
      <diagonal/>
    </border>
    <border>
      <left style="thin">
        <color rgb="FF00338D"/>
      </left>
      <right/>
      <top style="thin">
        <color rgb="FF00587A"/>
      </top>
      <bottom/>
      <diagonal/>
    </border>
    <border>
      <left/>
      <right style="thin">
        <color indexed="24"/>
      </right>
      <top style="thin">
        <color rgb="FF00587A"/>
      </top>
      <bottom/>
      <diagonal/>
    </border>
    <border>
      <left/>
      <right style="thin">
        <color rgb="FF00338D"/>
      </right>
      <top style="thin">
        <color rgb="FF00587A"/>
      </top>
      <bottom/>
      <diagonal/>
    </border>
    <border>
      <left/>
      <right style="thin">
        <color rgb="FF002060"/>
      </right>
      <top style="thin">
        <color rgb="FF00587A"/>
      </top>
      <bottom/>
      <diagonal/>
    </border>
    <border>
      <left style="thin">
        <color rgb="FF00338D"/>
      </left>
      <right/>
      <top/>
      <bottom style="medium">
        <color rgb="FF00587A"/>
      </bottom>
      <diagonal/>
    </border>
    <border>
      <left/>
      <right style="thin">
        <color rgb="FF00338D"/>
      </right>
      <top/>
      <bottom style="medium">
        <color rgb="FF00587A"/>
      </bottom>
      <diagonal/>
    </border>
    <border>
      <left style="thin">
        <color rgb="FF00338D"/>
      </left>
      <right/>
      <top style="thin">
        <color rgb="FF00587A"/>
      </top>
      <bottom style="medium">
        <color rgb="FF00587A"/>
      </bottom>
      <diagonal/>
    </border>
    <border>
      <left/>
      <right style="thin">
        <color indexed="24"/>
      </right>
      <top style="thin">
        <color rgb="FF00587A"/>
      </top>
      <bottom style="medium">
        <color rgb="FF00587A"/>
      </bottom>
      <diagonal/>
    </border>
    <border>
      <left style="thin">
        <color rgb="FF00587A"/>
      </left>
      <right/>
      <top style="thin">
        <color rgb="FF00587A"/>
      </top>
      <bottom style="thin">
        <color rgb="FF00338D"/>
      </bottom>
      <diagonal/>
    </border>
    <border>
      <left/>
      <right/>
      <top style="thin">
        <color rgb="FF00587A"/>
      </top>
      <bottom style="thin">
        <color rgb="FF00338D"/>
      </bottom>
      <diagonal/>
    </border>
    <border>
      <left/>
      <right style="thin">
        <color rgb="FF00587A"/>
      </right>
      <top style="thin">
        <color rgb="FF00587A"/>
      </top>
      <bottom style="thin">
        <color rgb="FF00338D"/>
      </bottom>
      <diagonal/>
    </border>
    <border>
      <left style="thin">
        <color rgb="FF00587A"/>
      </left>
      <right/>
      <top/>
      <bottom style="thin">
        <color rgb="FF00338D"/>
      </bottom>
      <diagonal/>
    </border>
    <border>
      <left/>
      <right style="thin">
        <color rgb="FF00587A"/>
      </right>
      <top/>
      <bottom style="thin">
        <color rgb="FF00338D"/>
      </bottom>
      <diagonal/>
    </border>
    <border>
      <left style="thin">
        <color rgb="FF00587A"/>
      </left>
      <right/>
      <top style="thin">
        <color indexed="24"/>
      </top>
      <bottom style="medium">
        <color rgb="FF00587A"/>
      </bottom>
      <diagonal/>
    </border>
    <border>
      <left/>
      <right/>
      <top style="thin">
        <color indexed="24"/>
      </top>
      <bottom style="medium">
        <color rgb="FF00587A"/>
      </bottom>
      <diagonal/>
    </border>
    <border>
      <left/>
      <right style="thin">
        <color rgb="FF00587A"/>
      </right>
      <top style="thin">
        <color indexed="24"/>
      </top>
      <bottom style="medium">
        <color rgb="FF00587A"/>
      </bottom>
      <diagonal/>
    </border>
    <border>
      <left style="thin">
        <color rgb="FF00587A"/>
      </left>
      <right/>
      <top/>
      <bottom style="thin">
        <color indexed="24"/>
      </bottom>
      <diagonal/>
    </border>
    <border>
      <left style="thin">
        <color rgb="FF00587A"/>
      </left>
      <right/>
      <top style="thin">
        <color rgb="FF00587A"/>
      </top>
      <bottom style="thin">
        <color indexed="24"/>
      </bottom>
      <diagonal/>
    </border>
    <border>
      <left/>
      <right/>
      <top style="thin">
        <color rgb="FF00587A"/>
      </top>
      <bottom style="thin">
        <color indexed="24"/>
      </bottom>
      <diagonal/>
    </border>
    <border>
      <left/>
      <right style="thin">
        <color rgb="FF00587A"/>
      </right>
      <top style="thin">
        <color rgb="FF00587A"/>
      </top>
      <bottom style="thin">
        <color indexed="24"/>
      </bottom>
      <diagonal/>
    </border>
    <border>
      <left/>
      <right style="thin">
        <color rgb="FF00587A"/>
      </right>
      <top/>
      <bottom style="thin">
        <color indexed="24"/>
      </bottom>
      <diagonal/>
    </border>
    <border>
      <left style="thin">
        <color rgb="FF00587A"/>
      </left>
      <right style="thin">
        <color rgb="FF00587A"/>
      </right>
      <top/>
      <bottom/>
      <diagonal/>
    </border>
    <border>
      <left style="thin">
        <color rgb="FF00587A"/>
      </left>
      <right/>
      <top style="thin">
        <color indexed="24"/>
      </top>
      <bottom/>
      <diagonal/>
    </border>
    <border>
      <left/>
      <right style="thin">
        <color rgb="FF00587A"/>
      </right>
      <top style="thin">
        <color indexed="24"/>
      </top>
      <bottom/>
      <diagonal/>
    </border>
    <border>
      <left style="thin">
        <color rgb="FF00587A"/>
      </left>
      <right/>
      <top style="thin">
        <color indexed="24"/>
      </top>
      <bottom style="thin">
        <color rgb="FF00587A"/>
      </bottom>
      <diagonal/>
    </border>
    <border>
      <left/>
      <right/>
      <top style="thin">
        <color indexed="24"/>
      </top>
      <bottom style="thin">
        <color rgb="FF00587A"/>
      </bottom>
      <diagonal/>
    </border>
    <border>
      <left/>
      <right style="thin">
        <color rgb="FF00587A"/>
      </right>
      <top style="thin">
        <color indexed="24"/>
      </top>
      <bottom style="thin">
        <color rgb="FF00587A"/>
      </bottom>
      <diagonal/>
    </border>
    <border>
      <left style="thin">
        <color rgb="FF00587A"/>
      </left>
      <right/>
      <top/>
      <bottom style="thin">
        <color rgb="FF00587A"/>
      </bottom>
      <diagonal/>
    </border>
    <border>
      <left/>
      <right/>
      <top/>
      <bottom style="thin">
        <color rgb="FF00587A"/>
      </bottom>
      <diagonal/>
    </border>
    <border>
      <left/>
      <right style="thin">
        <color rgb="FF00587A"/>
      </right>
      <top/>
      <bottom style="thin">
        <color rgb="FF00587A"/>
      </bottom>
      <diagonal/>
    </border>
    <border>
      <left style="thin">
        <color rgb="FF00587A"/>
      </left>
      <right style="thin">
        <color rgb="FF00587A"/>
      </right>
      <top/>
      <bottom style="thin">
        <color rgb="FF00587A"/>
      </bottom>
      <diagonal/>
    </border>
    <border>
      <left style="thin">
        <color rgb="FF00338D"/>
      </left>
      <right/>
      <top style="thin">
        <color rgb="FF00587A"/>
      </top>
      <bottom style="thin">
        <color rgb="FF00587A"/>
      </bottom>
      <diagonal/>
    </border>
    <border>
      <left style="thin">
        <color rgb="FF00338D"/>
      </left>
      <right/>
      <top/>
      <bottom style="thin">
        <color rgb="FF00587A"/>
      </bottom>
      <diagonal/>
    </border>
    <border>
      <left style="thin">
        <color rgb="FF00587A"/>
      </left>
      <right/>
      <top style="medium">
        <color rgb="FF00587A"/>
      </top>
      <bottom/>
      <diagonal/>
    </border>
    <border>
      <left/>
      <right/>
      <top style="medium">
        <color rgb="FF00587A"/>
      </top>
      <bottom/>
      <diagonal/>
    </border>
    <border>
      <left/>
      <right style="thin">
        <color rgb="FF00587A"/>
      </right>
      <top style="medium">
        <color rgb="FF00587A"/>
      </top>
      <bottom/>
      <diagonal/>
    </border>
    <border>
      <left style="thin">
        <color indexed="24"/>
      </left>
      <right/>
      <top/>
      <bottom style="medium">
        <color rgb="FF00587A"/>
      </bottom>
      <diagonal/>
    </border>
    <border>
      <left style="thin">
        <color indexed="24"/>
      </left>
      <right/>
      <top/>
      <bottom style="thin">
        <color rgb="FF00587A"/>
      </bottom>
      <diagonal/>
    </border>
    <border>
      <left style="thin">
        <color indexed="24"/>
      </left>
      <right/>
      <top style="thin">
        <color rgb="FF00587A"/>
      </top>
      <bottom style="thin">
        <color rgb="FF00587A"/>
      </bottom>
      <diagonal/>
    </border>
    <border>
      <left style="dotted">
        <color auto="1"/>
      </left>
      <right style="dotted">
        <color auto="1"/>
      </right>
      <top/>
      <bottom style="dotted">
        <color auto="1"/>
      </bottom>
      <diagonal/>
    </border>
    <border>
      <left style="mediumDashDotDot">
        <color rgb="FF00587A"/>
      </left>
      <right/>
      <top/>
      <bottom/>
      <diagonal/>
    </border>
    <border>
      <left style="thin">
        <color rgb="FF00587A"/>
      </left>
      <right/>
      <top style="thin">
        <color indexed="64"/>
      </top>
      <bottom/>
      <diagonal/>
    </border>
    <border>
      <left/>
      <right/>
      <top style="thin">
        <color indexed="64"/>
      </top>
      <bottom/>
      <diagonal/>
    </border>
    <border>
      <left/>
      <right style="thin">
        <color rgb="FF00587A"/>
      </right>
      <top style="thin">
        <color indexed="64"/>
      </top>
      <bottom/>
      <diagonal/>
    </border>
    <border>
      <left style="thin">
        <color rgb="FF00587A"/>
      </left>
      <right style="thin">
        <color rgb="FF00587A"/>
      </right>
      <top style="thin">
        <color rgb="FF00587A"/>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rgb="FF00587A"/>
      </left>
      <right style="hair">
        <color rgb="FF0000FF"/>
      </right>
      <top style="hair">
        <color rgb="FF0000FF"/>
      </top>
      <bottom style="hair">
        <color rgb="FF0000FF"/>
      </bottom>
      <diagonal/>
    </border>
    <border>
      <left style="thin">
        <color rgb="FF00587A"/>
      </left>
      <right/>
      <top style="hair">
        <color rgb="FF0000FF"/>
      </top>
      <bottom style="thin">
        <color rgb="FF00587A"/>
      </bottom>
      <diagonal/>
    </border>
    <border>
      <left style="hair">
        <color rgb="FF0000FF"/>
      </left>
      <right style="hair">
        <color rgb="FF0000FF"/>
      </right>
      <top style="hair">
        <color rgb="FF0000FF"/>
      </top>
      <bottom style="hair">
        <color rgb="FF0000FF"/>
      </bottom>
      <diagonal/>
    </border>
    <border>
      <left style="dotted">
        <color rgb="FF00587A"/>
      </left>
      <right style="dotted">
        <color rgb="FF00587A"/>
      </right>
      <top style="dotted">
        <color rgb="FF00587A"/>
      </top>
      <bottom style="dotted">
        <color rgb="FF00587A"/>
      </bottom>
      <diagonal/>
    </border>
    <border>
      <left style="thin">
        <color rgb="FF00587A"/>
      </left>
      <right style="thin">
        <color rgb="FF00587A"/>
      </right>
      <top style="thin">
        <color rgb="FF00587A"/>
      </top>
      <bottom style="thin">
        <color rgb="FF00587A"/>
      </bottom>
      <diagonal/>
    </border>
    <border>
      <left/>
      <right style="thin">
        <color rgb="FF00587A"/>
      </right>
      <top style="thin">
        <color indexed="64"/>
      </top>
      <bottom style="thin">
        <color indexed="64"/>
      </bottom>
      <diagonal/>
    </border>
    <border>
      <left style="hair">
        <color rgb="FF0000FF"/>
      </left>
      <right style="hair">
        <color rgb="FF0000FF"/>
      </right>
      <top style="hair">
        <color rgb="FF0000FF"/>
      </top>
      <bottom/>
      <diagonal/>
    </border>
    <border>
      <left style="thin">
        <color indexed="64"/>
      </left>
      <right/>
      <top/>
      <bottom style="thin">
        <color rgb="FF00587A"/>
      </bottom>
      <diagonal/>
    </border>
    <border>
      <left/>
      <right style="thin">
        <color indexed="64"/>
      </right>
      <top/>
      <bottom style="thin">
        <color rgb="FF00587A"/>
      </bottom>
      <diagonal/>
    </border>
    <border>
      <left/>
      <right style="thin">
        <color rgb="FF00587A"/>
      </right>
      <top/>
      <bottom style="thin">
        <color indexed="64"/>
      </bottom>
      <diagonal/>
    </border>
    <border>
      <left/>
      <right style="thin">
        <color indexed="64"/>
      </right>
      <top style="thin">
        <color rgb="FF00587A"/>
      </top>
      <bottom/>
      <diagonal/>
    </border>
    <border>
      <left style="thin">
        <color rgb="FF00587A"/>
      </left>
      <right/>
      <top/>
      <bottom style="thin">
        <color indexed="64"/>
      </bottom>
      <diagonal/>
    </border>
    <border>
      <left/>
      <right style="thin">
        <color indexed="64"/>
      </right>
      <top style="thin">
        <color rgb="FF00587A"/>
      </top>
      <bottom style="thin">
        <color rgb="FF00587A"/>
      </bottom>
      <diagonal/>
    </border>
    <border>
      <left style="thin">
        <color indexed="24"/>
      </left>
      <right/>
      <top/>
      <bottom style="thin">
        <color indexed="64"/>
      </bottom>
      <diagonal/>
    </border>
    <border>
      <left style="thin">
        <color rgb="FF00587A"/>
      </left>
      <right/>
      <top/>
      <bottom style="medium">
        <color indexed="64"/>
      </bottom>
      <diagonal/>
    </border>
    <border>
      <left/>
      <right style="thin">
        <color rgb="FF00587A"/>
      </right>
      <top/>
      <bottom style="medium">
        <color indexed="64"/>
      </bottom>
      <diagonal/>
    </border>
    <border>
      <left/>
      <right style="hair">
        <color rgb="FF0000FF"/>
      </right>
      <top style="hair">
        <color rgb="FF0000FF"/>
      </top>
      <bottom style="hair">
        <color rgb="FF0000FF"/>
      </bottom>
      <diagonal/>
    </border>
    <border>
      <left style="hair">
        <color rgb="FF0000FF"/>
      </left>
      <right style="hair">
        <color rgb="FF0000FF"/>
      </right>
      <top/>
      <bottom style="hair">
        <color rgb="FF0000FF"/>
      </bottom>
      <diagonal/>
    </border>
    <border>
      <left style="thin">
        <color rgb="FF00587A"/>
      </left>
      <right/>
      <top style="hair">
        <color rgb="FF0000FF"/>
      </top>
      <bottom style="hair">
        <color rgb="FF0000FF"/>
      </bottom>
      <diagonal/>
    </border>
    <border>
      <left style="thin">
        <color rgb="FF00587A"/>
      </left>
      <right style="thin">
        <color rgb="FF00587A"/>
      </right>
      <top/>
      <bottom style="medium">
        <color rgb="FF00587A"/>
      </bottom>
      <diagonal/>
    </border>
    <border>
      <left style="thin">
        <color indexed="64"/>
      </left>
      <right/>
      <top style="thin">
        <color rgb="FF00587A"/>
      </top>
      <bottom/>
      <diagonal/>
    </border>
    <border>
      <left/>
      <right style="thin">
        <color indexed="64"/>
      </right>
      <top style="thin">
        <color rgb="FF00587A"/>
      </top>
      <bottom style="medium">
        <color rgb="FF00587A"/>
      </bottom>
      <diagonal/>
    </border>
    <border>
      <left style="thin">
        <color rgb="FF00587A"/>
      </left>
      <right style="thin">
        <color indexed="64"/>
      </right>
      <top style="thin">
        <color rgb="FF00587A"/>
      </top>
      <bottom style="thin">
        <color rgb="FF00587A"/>
      </bottom>
      <diagonal/>
    </border>
    <border>
      <left style="thin">
        <color rgb="FF00587A"/>
      </left>
      <right style="thin">
        <color indexed="64"/>
      </right>
      <top/>
      <bottom/>
      <diagonal/>
    </border>
    <border>
      <left style="thin">
        <color rgb="FF00587A"/>
      </left>
      <right style="thin">
        <color indexed="64"/>
      </right>
      <top/>
      <bottom style="thin">
        <color rgb="FF00587A"/>
      </bottom>
      <diagonal/>
    </border>
    <border>
      <left style="thin">
        <color rgb="FF00587A"/>
      </left>
      <right style="thin">
        <color indexed="64"/>
      </right>
      <top/>
      <bottom style="thin">
        <color indexed="64"/>
      </bottom>
      <diagonal/>
    </border>
    <border>
      <left style="thin">
        <color rgb="FF00587A"/>
      </left>
      <right style="thin">
        <color indexed="64"/>
      </right>
      <top style="thin">
        <color rgb="FF00587A"/>
      </top>
      <bottom style="medium">
        <color rgb="FF00587A"/>
      </bottom>
      <diagonal/>
    </border>
    <border>
      <left style="thin">
        <color indexed="64"/>
      </left>
      <right/>
      <top style="thin">
        <color rgb="FF00587A"/>
      </top>
      <bottom style="medium">
        <color rgb="FF00587A"/>
      </bottom>
      <diagonal/>
    </border>
    <border>
      <left style="thin">
        <color indexed="64"/>
      </left>
      <right/>
      <top style="thin">
        <color rgb="FF00587A"/>
      </top>
      <bottom style="thin">
        <color rgb="FF00587A"/>
      </bottom>
      <diagonal/>
    </border>
    <border>
      <left style="thin">
        <color rgb="FF00587A"/>
      </left>
      <right style="thin">
        <color indexed="64"/>
      </right>
      <top style="thin">
        <color rgb="FF00587A"/>
      </top>
      <bottom/>
      <diagonal/>
    </border>
    <border>
      <left style="thin">
        <color indexed="64"/>
      </left>
      <right/>
      <top/>
      <bottom style="medium">
        <color rgb="FF00587A"/>
      </bottom>
      <diagonal/>
    </border>
    <border>
      <left/>
      <right style="thin">
        <color indexed="64"/>
      </right>
      <top/>
      <bottom style="medium">
        <color rgb="FF00587A"/>
      </bottom>
      <diagonal/>
    </border>
  </borders>
  <cellStyleXfs count="30">
    <xf numFmtId="0" fontId="0" fillId="0" borderId="0"/>
    <xf numFmtId="0" fontId="21" fillId="0" borderId="0"/>
    <xf numFmtId="9" fontId="21" fillId="0" borderId="0" applyFont="0" applyFill="0" applyBorder="0" applyAlignment="0" applyProtection="0"/>
    <xf numFmtId="43" fontId="21" fillId="0" borderId="0" applyFont="0" applyFill="0" applyBorder="0" applyAlignment="0" applyProtection="0"/>
    <xf numFmtId="0" fontId="45" fillId="0" borderId="0"/>
    <xf numFmtId="0" fontId="46" fillId="0" borderId="0"/>
    <xf numFmtId="0" fontId="48" fillId="0" borderId="0"/>
    <xf numFmtId="9" fontId="48" fillId="0" borderId="0" applyFont="0" applyFill="0" applyBorder="0" applyAlignment="0" applyProtection="0"/>
    <xf numFmtId="0" fontId="45" fillId="0" borderId="0"/>
    <xf numFmtId="9" fontId="50" fillId="0" borderId="0" applyFont="0" applyFill="0" applyBorder="0" applyAlignment="0" applyProtection="0"/>
    <xf numFmtId="0" fontId="51" fillId="0" borderId="0"/>
    <xf numFmtId="0" fontId="52" fillId="0" borderId="0"/>
    <xf numFmtId="44" fontId="48" fillId="0" borderId="0" applyFont="0" applyFill="0" applyBorder="0" applyAlignment="0" applyProtection="0"/>
    <xf numFmtId="9" fontId="53" fillId="0" borderId="0" applyFont="0" applyFill="0" applyBorder="0" applyAlignment="0" applyProtection="0"/>
    <xf numFmtId="0" fontId="45" fillId="0" borderId="0"/>
    <xf numFmtId="0" fontId="45" fillId="0" borderId="0"/>
    <xf numFmtId="0" fontId="54" fillId="0" borderId="0"/>
    <xf numFmtId="0" fontId="20" fillId="0" borderId="0"/>
    <xf numFmtId="9" fontId="20" fillId="0" borderId="0" applyFont="0" applyFill="0" applyBorder="0" applyAlignment="0" applyProtection="0"/>
    <xf numFmtId="43" fontId="20" fillId="0" borderId="0" applyFont="0" applyFill="0" applyBorder="0" applyAlignment="0" applyProtection="0"/>
    <xf numFmtId="44" fontId="48" fillId="0" borderId="0" applyFont="0" applyFill="0" applyBorder="0" applyAlignment="0" applyProtection="0"/>
    <xf numFmtId="0" fontId="45" fillId="0" borderId="0"/>
    <xf numFmtId="0" fontId="56" fillId="0" borderId="0"/>
    <xf numFmtId="43" fontId="48" fillId="0" borderId="0" applyFont="0" applyFill="0" applyBorder="0" applyAlignment="0" applyProtection="0"/>
    <xf numFmtId="0" fontId="50" fillId="0" borderId="0"/>
    <xf numFmtId="9" fontId="50" fillId="0" borderId="0" applyFont="0" applyFill="0" applyBorder="0" applyAlignment="0" applyProtection="0"/>
    <xf numFmtId="43" fontId="50" fillId="0" borderId="0" applyFont="0" applyFill="0" applyBorder="0" applyAlignment="0" applyProtection="0"/>
    <xf numFmtId="0" fontId="45" fillId="0" borderId="0"/>
    <xf numFmtId="0" fontId="45" fillId="0" borderId="0"/>
    <xf numFmtId="0" fontId="86" fillId="0" borderId="0" applyNumberFormat="0" applyFill="0" applyBorder="0" applyAlignment="0" applyProtection="0"/>
  </cellStyleXfs>
  <cellXfs count="1774">
    <xf numFmtId="0" fontId="0" fillId="0" borderId="0" xfId="0"/>
    <xf numFmtId="0" fontId="27" fillId="2" borderId="0" xfId="1" applyFont="1" applyFill="1" applyAlignment="1" applyProtection="1">
      <alignment horizontal="left"/>
      <protection hidden="1"/>
    </xf>
    <xf numFmtId="0" fontId="28" fillId="3" borderId="0" xfId="1" applyFont="1" applyFill="1" applyProtection="1">
      <protection hidden="1"/>
    </xf>
    <xf numFmtId="0" fontId="31" fillId="3" borderId="0" xfId="1" applyFont="1" applyFill="1" applyProtection="1">
      <protection hidden="1"/>
    </xf>
    <xf numFmtId="0" fontId="33" fillId="2" borderId="0" xfId="1" applyFont="1" applyFill="1" applyAlignment="1" applyProtection="1">
      <alignment horizontal="left"/>
      <protection hidden="1"/>
    </xf>
    <xf numFmtId="0" fontId="28" fillId="2" borderId="0" xfId="1" applyFont="1" applyFill="1" applyAlignment="1" applyProtection="1">
      <alignment horizontal="right"/>
      <protection hidden="1"/>
    </xf>
    <xf numFmtId="0" fontId="28" fillId="2" borderId="0" xfId="1" applyFont="1" applyFill="1" applyAlignment="1" applyProtection="1">
      <alignment horizontal="left"/>
      <protection hidden="1"/>
    </xf>
    <xf numFmtId="0" fontId="25" fillId="2" borderId="0" xfId="1" applyFont="1" applyFill="1" applyAlignment="1" applyProtection="1">
      <alignment horizontal="left"/>
      <protection hidden="1"/>
    </xf>
    <xf numFmtId="165" fontId="28" fillId="2" borderId="0" xfId="1" applyNumberFormat="1" applyFont="1" applyFill="1" applyAlignment="1" applyProtection="1">
      <alignment horizontal="right"/>
      <protection hidden="1"/>
    </xf>
    <xf numFmtId="3" fontId="28" fillId="2" borderId="0" xfId="1" applyNumberFormat="1" applyFont="1" applyFill="1" applyAlignment="1" applyProtection="1">
      <alignment horizontal="left"/>
      <protection hidden="1"/>
    </xf>
    <xf numFmtId="167" fontId="28" fillId="2" borderId="0" xfId="1" applyNumberFormat="1" applyFont="1" applyFill="1" applyAlignment="1" applyProtection="1">
      <alignment horizontal="left"/>
      <protection hidden="1"/>
    </xf>
    <xf numFmtId="169" fontId="34" fillId="2" borderId="0" xfId="2" applyNumberFormat="1" applyFont="1" applyFill="1" applyBorder="1" applyAlignment="1" applyProtection="1">
      <alignment horizontal="right"/>
      <protection hidden="1"/>
    </xf>
    <xf numFmtId="170" fontId="28" fillId="2" borderId="0" xfId="1" applyNumberFormat="1" applyFont="1" applyFill="1" applyAlignment="1" applyProtection="1">
      <alignment horizontal="left"/>
      <protection hidden="1"/>
    </xf>
    <xf numFmtId="9" fontId="35" fillId="2" borderId="0" xfId="2" applyFont="1" applyFill="1" applyBorder="1" applyAlignment="1" applyProtection="1">
      <alignment horizontal="right"/>
      <protection hidden="1"/>
    </xf>
    <xf numFmtId="167" fontId="28" fillId="2" borderId="0" xfId="2" applyNumberFormat="1" applyFont="1" applyFill="1" applyAlignment="1" applyProtection="1">
      <alignment horizontal="right"/>
      <protection hidden="1"/>
    </xf>
    <xf numFmtId="0" fontId="36" fillId="3" borderId="0" xfId="1" applyFont="1" applyFill="1" applyAlignment="1" applyProtection="1">
      <alignment horizontal="left"/>
      <protection hidden="1"/>
    </xf>
    <xf numFmtId="3" fontId="36" fillId="3" borderId="0" xfId="1" applyNumberFormat="1" applyFont="1" applyFill="1" applyAlignment="1" applyProtection="1">
      <alignment horizontal="right"/>
      <protection hidden="1"/>
    </xf>
    <xf numFmtId="167" fontId="31" fillId="2" borderId="0" xfId="2" applyNumberFormat="1" applyFont="1" applyFill="1" applyBorder="1" applyAlignment="1" applyProtection="1">
      <alignment horizontal="right"/>
      <protection hidden="1"/>
    </xf>
    <xf numFmtId="167" fontId="28" fillId="2" borderId="0" xfId="1" applyNumberFormat="1" applyFont="1" applyFill="1" applyAlignment="1" applyProtection="1">
      <alignment horizontal="right"/>
      <protection hidden="1"/>
    </xf>
    <xf numFmtId="167" fontId="34" fillId="2" borderId="0" xfId="2" applyNumberFormat="1" applyFont="1" applyFill="1" applyAlignment="1" applyProtection="1">
      <alignment horizontal="right"/>
      <protection hidden="1"/>
    </xf>
    <xf numFmtId="167" fontId="34" fillId="2" borderId="0" xfId="2" applyNumberFormat="1" applyFont="1" applyFill="1" applyBorder="1" applyAlignment="1" applyProtection="1">
      <alignment horizontal="right"/>
      <protection hidden="1"/>
    </xf>
    <xf numFmtId="3" fontId="28" fillId="2" borderId="0" xfId="1" applyNumberFormat="1" applyFont="1" applyFill="1" applyAlignment="1" applyProtection="1">
      <alignment horizontal="right"/>
      <protection hidden="1"/>
    </xf>
    <xf numFmtId="0" fontId="37" fillId="0" borderId="0" xfId="1" applyFont="1"/>
    <xf numFmtId="0" fontId="38" fillId="0" borderId="0" xfId="1" applyFont="1"/>
    <xf numFmtId="0" fontId="39" fillId="4" borderId="0" xfId="1" applyFont="1" applyFill="1"/>
    <xf numFmtId="0" fontId="40" fillId="4" borderId="0" xfId="1" applyFont="1" applyFill="1"/>
    <xf numFmtId="0" fontId="39" fillId="0" borderId="0" xfId="1" applyFont="1"/>
    <xf numFmtId="0" fontId="37" fillId="3" borderId="0" xfId="1" applyFont="1" applyFill="1" applyAlignment="1">
      <alignment horizontal="center"/>
    </xf>
    <xf numFmtId="0" fontId="39" fillId="0" borderId="0" xfId="1" applyFont="1" applyAlignment="1">
      <alignment horizontal="center"/>
    </xf>
    <xf numFmtId="0" fontId="38" fillId="4" borderId="0" xfId="1" applyFont="1" applyFill="1" applyAlignment="1">
      <alignment horizontal="center"/>
    </xf>
    <xf numFmtId="0" fontId="41" fillId="7" borderId="0" xfId="1" applyFont="1" applyFill="1" applyAlignment="1">
      <alignment horizontal="right"/>
    </xf>
    <xf numFmtId="0" fontId="38" fillId="8" borderId="0" xfId="1" applyFont="1" applyFill="1" applyAlignment="1">
      <alignment horizontal="right"/>
    </xf>
    <xf numFmtId="0" fontId="42" fillId="0" borderId="0" xfId="1" applyFont="1"/>
    <xf numFmtId="0" fontId="42" fillId="5" borderId="0" xfId="1" applyFont="1" applyFill="1"/>
    <xf numFmtId="0" fontId="43" fillId="0" borderId="0" xfId="1" applyFont="1"/>
    <xf numFmtId="0" fontId="43" fillId="5" borderId="0" xfId="1" applyFont="1" applyFill="1"/>
    <xf numFmtId="0" fontId="37" fillId="0" borderId="0" xfId="1" applyFont="1" applyAlignment="1">
      <alignment horizontal="right"/>
    </xf>
    <xf numFmtId="0" fontId="44" fillId="0" borderId="0" xfId="1" applyFont="1" applyProtection="1">
      <protection hidden="1"/>
    </xf>
    <xf numFmtId="4" fontId="37" fillId="0" borderId="0" xfId="1" applyNumberFormat="1" applyFont="1"/>
    <xf numFmtId="0" fontId="43" fillId="0" borderId="0" xfId="1" applyFont="1" applyAlignment="1">
      <alignment horizontal="right"/>
    </xf>
    <xf numFmtId="0" fontId="39" fillId="5" borderId="0" xfId="1" applyFont="1" applyFill="1"/>
    <xf numFmtId="0" fontId="39" fillId="6" borderId="0" xfId="1" applyFont="1" applyFill="1"/>
    <xf numFmtId="0" fontId="39" fillId="3" borderId="0" xfId="1" applyFont="1" applyFill="1"/>
    <xf numFmtId="0" fontId="31" fillId="2" borderId="0" xfId="1" applyFont="1" applyFill="1" applyAlignment="1" applyProtection="1">
      <alignment horizontal="left"/>
      <protection hidden="1"/>
    </xf>
    <xf numFmtId="0" fontId="49" fillId="0" borderId="0" xfId="0" applyFont="1"/>
    <xf numFmtId="0" fontId="28" fillId="3" borderId="7" xfId="1" applyFont="1" applyFill="1" applyBorder="1" applyAlignment="1" applyProtection="1">
      <alignment horizontal="left" indent="1"/>
      <protection hidden="1"/>
    </xf>
    <xf numFmtId="0" fontId="37" fillId="0" borderId="0" xfId="1" applyFont="1" applyAlignment="1">
      <alignment horizontal="center"/>
    </xf>
    <xf numFmtId="171" fontId="42" fillId="0" borderId="0" xfId="1" applyNumberFormat="1" applyFont="1"/>
    <xf numFmtId="171" fontId="43" fillId="0" borderId="0" xfId="1" applyNumberFormat="1" applyFont="1"/>
    <xf numFmtId="171" fontId="37" fillId="0" borderId="0" xfId="1" applyNumberFormat="1" applyFont="1"/>
    <xf numFmtId="173" fontId="42" fillId="0" borderId="0" xfId="1" applyNumberFormat="1" applyFont="1"/>
    <xf numFmtId="173" fontId="43" fillId="0" borderId="0" xfId="1" applyNumberFormat="1" applyFont="1"/>
    <xf numFmtId="4" fontId="28" fillId="2" borderId="11" xfId="0" applyNumberFormat="1" applyFont="1" applyFill="1" applyBorder="1" applyAlignment="1">
      <alignment horizontal="left" vertical="center"/>
    </xf>
    <xf numFmtId="4" fontId="31" fillId="2" borderId="11" xfId="0" applyNumberFormat="1" applyFont="1" applyFill="1" applyBorder="1" applyAlignment="1">
      <alignment horizontal="left" vertical="center"/>
    </xf>
    <xf numFmtId="0" fontId="31" fillId="2" borderId="0" xfId="1" applyFont="1" applyFill="1" applyAlignment="1" applyProtection="1">
      <alignment horizontal="right"/>
      <protection hidden="1"/>
    </xf>
    <xf numFmtId="0" fontId="22" fillId="11" borderId="14" xfId="17" applyFont="1" applyFill="1" applyBorder="1" applyAlignment="1" applyProtection="1">
      <alignment horizontal="left" vertical="center"/>
      <protection hidden="1"/>
    </xf>
    <xf numFmtId="0" fontId="22" fillId="11" borderId="15" xfId="17" applyFont="1" applyFill="1" applyBorder="1" applyAlignment="1" applyProtection="1">
      <alignment horizontal="left" vertical="center"/>
      <protection hidden="1"/>
    </xf>
    <xf numFmtId="0" fontId="22" fillId="11" borderId="16" xfId="17" applyFont="1" applyFill="1" applyBorder="1" applyAlignment="1" applyProtection="1">
      <alignment horizontal="left" vertical="center"/>
      <protection hidden="1"/>
    </xf>
    <xf numFmtId="0" fontId="22" fillId="11" borderId="15" xfId="24" applyFont="1" applyFill="1" applyBorder="1" applyAlignment="1">
      <alignment horizontal="left" vertical="center"/>
    </xf>
    <xf numFmtId="0" fontId="22" fillId="11" borderId="16" xfId="24" applyFont="1" applyFill="1" applyBorder="1" applyAlignment="1">
      <alignment horizontal="left" vertical="center"/>
    </xf>
    <xf numFmtId="0" fontId="23" fillId="2" borderId="17" xfId="17" applyFont="1" applyFill="1" applyBorder="1" applyAlignment="1" applyProtection="1">
      <alignment horizontal="left"/>
      <protection hidden="1"/>
    </xf>
    <xf numFmtId="0" fontId="23" fillId="2" borderId="18" xfId="17" applyFont="1" applyFill="1" applyBorder="1" applyAlignment="1" applyProtection="1">
      <alignment horizontal="right"/>
      <protection hidden="1"/>
    </xf>
    <xf numFmtId="0" fontId="23" fillId="2" borderId="19" xfId="17" applyFont="1" applyFill="1" applyBorder="1" applyAlignment="1" applyProtection="1">
      <alignment horizontal="right"/>
      <protection hidden="1"/>
    </xf>
    <xf numFmtId="0" fontId="28" fillId="2" borderId="14" xfId="17" applyFont="1" applyFill="1" applyBorder="1" applyAlignment="1" applyProtection="1">
      <alignment horizontal="left"/>
      <protection hidden="1"/>
    </xf>
    <xf numFmtId="0" fontId="28" fillId="2" borderId="20" xfId="17" applyFont="1" applyFill="1" applyBorder="1" applyAlignment="1" applyProtection="1">
      <alignment horizontal="left" vertical="center"/>
      <protection hidden="1"/>
    </xf>
    <xf numFmtId="0" fontId="28" fillId="9" borderId="9" xfId="17" applyFont="1" applyFill="1" applyBorder="1" applyAlignment="1" applyProtection="1">
      <alignment horizontal="right" vertical="center"/>
      <protection hidden="1"/>
    </xf>
    <xf numFmtId="0" fontId="28" fillId="2" borderId="0" xfId="24" applyFont="1" applyFill="1" applyAlignment="1">
      <alignment horizontal="right" vertical="center"/>
    </xf>
    <xf numFmtId="0" fontId="28" fillId="2" borderId="21" xfId="24" applyFont="1" applyFill="1" applyBorder="1" applyAlignment="1">
      <alignment horizontal="right" vertical="center"/>
    </xf>
    <xf numFmtId="0" fontId="28" fillId="2" borderId="20" xfId="17" applyFont="1" applyFill="1" applyBorder="1" applyAlignment="1" applyProtection="1">
      <alignment horizontal="left"/>
      <protection hidden="1"/>
    </xf>
    <xf numFmtId="172" fontId="28" fillId="2" borderId="0" xfId="17" applyNumberFormat="1" applyFont="1" applyFill="1" applyAlignment="1" applyProtection="1">
      <alignment horizontal="right"/>
      <protection hidden="1"/>
    </xf>
    <xf numFmtId="172" fontId="28" fillId="2" borderId="21" xfId="17" applyNumberFormat="1" applyFont="1" applyFill="1" applyBorder="1" applyAlignment="1" applyProtection="1">
      <alignment horizontal="right"/>
      <protection hidden="1"/>
    </xf>
    <xf numFmtId="0" fontId="34" fillId="3" borderId="20" xfId="17" applyFont="1" applyFill="1" applyBorder="1" applyAlignment="1" applyProtection="1">
      <alignment horizontal="left"/>
      <protection hidden="1"/>
    </xf>
    <xf numFmtId="172" fontId="34" fillId="2" borderId="0" xfId="17" applyNumberFormat="1" applyFont="1" applyFill="1" applyAlignment="1" applyProtection="1">
      <alignment horizontal="right"/>
      <protection hidden="1"/>
    </xf>
    <xf numFmtId="172" fontId="34" fillId="2" borderId="21" xfId="17" applyNumberFormat="1" applyFont="1" applyFill="1" applyBorder="1" applyAlignment="1" applyProtection="1">
      <alignment horizontal="right"/>
      <protection hidden="1"/>
    </xf>
    <xf numFmtId="0" fontId="28" fillId="2" borderId="0" xfId="17" applyFont="1" applyFill="1" applyAlignment="1" applyProtection="1">
      <alignment horizontal="right" vertical="center"/>
      <protection hidden="1"/>
    </xf>
    <xf numFmtId="0" fontId="28" fillId="3" borderId="20" xfId="17" applyFont="1" applyFill="1" applyBorder="1" applyAlignment="1" applyProtection="1">
      <alignment horizontal="left"/>
      <protection hidden="1"/>
    </xf>
    <xf numFmtId="166" fontId="28" fillId="2" borderId="0" xfId="17" applyNumberFormat="1" applyFont="1" applyFill="1" applyAlignment="1" applyProtection="1">
      <alignment horizontal="right"/>
      <protection hidden="1"/>
    </xf>
    <xf numFmtId="3" fontId="28" fillId="2" borderId="0" xfId="17" applyNumberFormat="1" applyFont="1" applyFill="1" applyAlignment="1" applyProtection="1">
      <alignment horizontal="right" vertical="center"/>
      <protection hidden="1"/>
    </xf>
    <xf numFmtId="168" fontId="34" fillId="2" borderId="0" xfId="17" applyNumberFormat="1" applyFont="1" applyFill="1" applyAlignment="1" applyProtection="1">
      <alignment horizontal="right"/>
      <protection hidden="1"/>
    </xf>
    <xf numFmtId="168" fontId="34" fillId="2" borderId="21" xfId="17" applyNumberFormat="1" applyFont="1" applyFill="1" applyBorder="1" applyAlignment="1" applyProtection="1">
      <alignment horizontal="right"/>
      <protection hidden="1"/>
    </xf>
    <xf numFmtId="0" fontId="28" fillId="2" borderId="20" xfId="24" applyFont="1" applyFill="1" applyBorder="1" applyAlignment="1">
      <alignment horizontal="left" vertical="center"/>
    </xf>
    <xf numFmtId="0" fontId="31" fillId="2" borderId="22" xfId="17" applyFont="1" applyFill="1" applyBorder="1" applyAlignment="1" applyProtection="1">
      <alignment horizontal="left" vertical="center"/>
      <protection hidden="1"/>
    </xf>
    <xf numFmtId="10" fontId="31" fillId="2" borderId="23" xfId="17" applyNumberFormat="1" applyFont="1" applyFill="1" applyBorder="1" applyAlignment="1" applyProtection="1">
      <alignment horizontal="right" vertical="center"/>
      <protection hidden="1"/>
    </xf>
    <xf numFmtId="0" fontId="28" fillId="2" borderId="24" xfId="24" applyFont="1" applyFill="1" applyBorder="1" applyAlignment="1">
      <alignment horizontal="right" vertical="center"/>
    </xf>
    <xf numFmtId="174" fontId="28" fillId="2" borderId="0" xfId="17" applyNumberFormat="1" applyFont="1" applyFill="1" applyAlignment="1" applyProtection="1">
      <alignment horizontal="right"/>
      <protection hidden="1"/>
    </xf>
    <xf numFmtId="174" fontId="28" fillId="2" borderId="21" xfId="17" applyNumberFormat="1" applyFont="1" applyFill="1" applyBorder="1" applyAlignment="1" applyProtection="1">
      <alignment horizontal="right"/>
      <protection hidden="1"/>
    </xf>
    <xf numFmtId="0" fontId="28" fillId="3" borderId="0" xfId="17" applyFont="1" applyFill="1" applyProtection="1">
      <protection hidden="1"/>
    </xf>
    <xf numFmtId="0" fontId="28" fillId="3" borderId="25" xfId="17" applyFont="1" applyFill="1" applyBorder="1" applyAlignment="1" applyProtection="1">
      <alignment horizontal="left"/>
      <protection hidden="1"/>
    </xf>
    <xf numFmtId="0" fontId="22" fillId="11" borderId="13" xfId="17" applyFont="1" applyFill="1" applyBorder="1" applyAlignment="1" applyProtection="1">
      <alignment horizontal="left" vertical="center"/>
      <protection hidden="1"/>
    </xf>
    <xf numFmtId="0" fontId="23" fillId="2" borderId="28" xfId="17" applyFont="1" applyFill="1" applyBorder="1" applyAlignment="1" applyProtection="1">
      <alignment horizontal="left"/>
      <protection hidden="1"/>
    </xf>
    <xf numFmtId="0" fontId="23" fillId="2" borderId="15" xfId="17" applyFont="1" applyFill="1" applyBorder="1" applyAlignment="1" applyProtection="1">
      <alignment horizontal="right"/>
      <protection hidden="1"/>
    </xf>
    <xf numFmtId="0" fontId="23" fillId="2" borderId="29" xfId="17" applyFont="1" applyFill="1" applyBorder="1" applyAlignment="1" applyProtection="1">
      <alignment horizontal="right"/>
      <protection hidden="1"/>
    </xf>
    <xf numFmtId="0" fontId="31" fillId="2" borderId="28" xfId="17" applyFont="1" applyFill="1" applyBorder="1" applyAlignment="1" applyProtection="1">
      <alignment horizontal="left"/>
      <protection hidden="1"/>
    </xf>
    <xf numFmtId="0" fontId="28" fillId="3" borderId="7" xfId="17" applyFont="1" applyFill="1" applyBorder="1" applyAlignment="1" applyProtection="1">
      <alignment horizontal="left"/>
      <protection hidden="1"/>
    </xf>
    <xf numFmtId="0" fontId="31" fillId="3" borderId="7" xfId="17" applyFont="1" applyFill="1" applyBorder="1" applyAlignment="1" applyProtection="1">
      <alignment horizontal="left"/>
      <protection hidden="1"/>
    </xf>
    <xf numFmtId="0" fontId="31" fillId="3" borderId="28" xfId="17" applyFont="1" applyFill="1" applyBorder="1" applyAlignment="1" applyProtection="1">
      <alignment horizontal="left"/>
      <protection hidden="1"/>
    </xf>
    <xf numFmtId="0" fontId="34" fillId="3" borderId="28" xfId="17" applyFont="1" applyFill="1" applyBorder="1" applyAlignment="1" applyProtection="1">
      <alignment horizontal="left"/>
      <protection hidden="1"/>
    </xf>
    <xf numFmtId="0" fontId="28" fillId="3" borderId="32" xfId="17" applyFont="1" applyFill="1" applyBorder="1" applyAlignment="1" applyProtection="1">
      <alignment horizontal="left"/>
      <protection hidden="1"/>
    </xf>
    <xf numFmtId="166" fontId="22" fillId="11" borderId="13" xfId="17" applyNumberFormat="1" applyFont="1" applyFill="1" applyBorder="1" applyAlignment="1" applyProtection="1">
      <alignment horizontal="left" vertical="center"/>
      <protection hidden="1"/>
    </xf>
    <xf numFmtId="166" fontId="22" fillId="11" borderId="5" xfId="17" applyNumberFormat="1" applyFont="1" applyFill="1" applyBorder="1" applyAlignment="1" applyProtection="1">
      <alignment horizontal="left" vertical="center"/>
      <protection hidden="1"/>
    </xf>
    <xf numFmtId="0" fontId="31" fillId="2" borderId="15" xfId="17" applyFont="1" applyFill="1" applyBorder="1" applyAlignment="1" applyProtection="1">
      <alignment horizontal="right"/>
      <protection hidden="1"/>
    </xf>
    <xf numFmtId="0" fontId="31" fillId="2" borderId="29" xfId="17" applyFont="1" applyFill="1" applyBorder="1" applyAlignment="1" applyProtection="1">
      <alignment horizontal="right"/>
      <protection hidden="1"/>
    </xf>
    <xf numFmtId="0" fontId="28" fillId="3" borderId="28" xfId="17" applyFont="1" applyFill="1" applyBorder="1" applyAlignment="1" applyProtection="1">
      <alignment horizontal="left"/>
      <protection hidden="1"/>
    </xf>
    <xf numFmtId="166" fontId="28" fillId="2" borderId="2" xfId="17" applyNumberFormat="1" applyFont="1" applyFill="1" applyBorder="1" applyAlignment="1" applyProtection="1">
      <alignment horizontal="right"/>
      <protection hidden="1"/>
    </xf>
    <xf numFmtId="0" fontId="34" fillId="3" borderId="7" xfId="17" applyFont="1" applyFill="1" applyBorder="1" applyAlignment="1" applyProtection="1">
      <alignment horizontal="left" indent="1"/>
      <protection hidden="1"/>
    </xf>
    <xf numFmtId="169" fontId="28" fillId="2" borderId="0" xfId="25" applyNumberFormat="1" applyFont="1" applyFill="1" applyBorder="1" applyAlignment="1" applyProtection="1">
      <alignment horizontal="right"/>
      <protection hidden="1"/>
    </xf>
    <xf numFmtId="169" fontId="28" fillId="2" borderId="2" xfId="25" applyNumberFormat="1" applyFont="1" applyFill="1" applyBorder="1" applyAlignment="1" applyProtection="1">
      <alignment horizontal="right"/>
      <protection hidden="1"/>
    </xf>
    <xf numFmtId="0" fontId="31" fillId="3" borderId="34" xfId="17" applyFont="1" applyFill="1" applyBorder="1" applyAlignment="1" applyProtection="1">
      <alignment horizontal="left"/>
      <protection hidden="1"/>
    </xf>
    <xf numFmtId="0" fontId="25" fillId="3" borderId="0" xfId="17" applyFont="1" applyFill="1" applyProtection="1">
      <protection hidden="1"/>
    </xf>
    <xf numFmtId="0" fontId="22" fillId="12" borderId="14" xfId="17" applyFont="1" applyFill="1" applyBorder="1" applyAlignment="1" applyProtection="1">
      <alignment horizontal="left" vertical="center"/>
      <protection hidden="1"/>
    </xf>
    <xf numFmtId="0" fontId="22" fillId="12" borderId="15" xfId="17" applyFont="1" applyFill="1" applyBorder="1" applyAlignment="1" applyProtection="1">
      <alignment horizontal="center" vertical="center"/>
      <protection hidden="1"/>
    </xf>
    <xf numFmtId="0" fontId="22" fillId="12" borderId="16" xfId="17" applyFont="1" applyFill="1" applyBorder="1" applyAlignment="1" applyProtection="1">
      <alignment horizontal="center" vertical="center"/>
      <protection hidden="1"/>
    </xf>
    <xf numFmtId="0" fontId="33" fillId="0" borderId="0" xfId="17" applyFont="1" applyAlignment="1" applyProtection="1">
      <alignment horizontal="right"/>
      <protection hidden="1"/>
    </xf>
    <xf numFmtId="0" fontId="22" fillId="12" borderId="15" xfId="17" applyFont="1" applyFill="1" applyBorder="1" applyAlignment="1" applyProtection="1">
      <alignment horizontal="left" vertical="center"/>
      <protection hidden="1"/>
    </xf>
    <xf numFmtId="0" fontId="22" fillId="12" borderId="16" xfId="17" applyFont="1" applyFill="1" applyBorder="1" applyAlignment="1" applyProtection="1">
      <alignment horizontal="left" vertical="center"/>
      <protection hidden="1"/>
    </xf>
    <xf numFmtId="0" fontId="23" fillId="2" borderId="36" xfId="17" applyFont="1" applyFill="1" applyBorder="1" applyAlignment="1" applyProtection="1">
      <alignment horizontal="left"/>
      <protection hidden="1"/>
    </xf>
    <xf numFmtId="0" fontId="23" fillId="2" borderId="37" xfId="17" applyFont="1" applyFill="1" applyBorder="1" applyAlignment="1" applyProtection="1">
      <alignment horizontal="right"/>
      <protection hidden="1"/>
    </xf>
    <xf numFmtId="0" fontId="23" fillId="2" borderId="38" xfId="17" applyFont="1" applyFill="1" applyBorder="1" applyAlignment="1" applyProtection="1">
      <alignment horizontal="right"/>
      <protection hidden="1"/>
    </xf>
    <xf numFmtId="0" fontId="57" fillId="3" borderId="20" xfId="17" applyFont="1" applyFill="1" applyBorder="1" applyProtection="1">
      <protection hidden="1"/>
    </xf>
    <xf numFmtId="0" fontId="28" fillId="3" borderId="20" xfId="17" applyFont="1" applyFill="1" applyBorder="1" applyProtection="1">
      <protection hidden="1"/>
    </xf>
    <xf numFmtId="166" fontId="31" fillId="3" borderId="15" xfId="17" applyNumberFormat="1" applyFont="1" applyFill="1" applyBorder="1" applyProtection="1">
      <protection hidden="1"/>
    </xf>
    <xf numFmtId="166" fontId="31" fillId="3" borderId="16" xfId="17" applyNumberFormat="1" applyFont="1" applyFill="1" applyBorder="1" applyProtection="1">
      <protection hidden="1"/>
    </xf>
    <xf numFmtId="0" fontId="28" fillId="0" borderId="0" xfId="17" applyFont="1" applyProtection="1">
      <protection hidden="1"/>
    </xf>
    <xf numFmtId="169" fontId="34" fillId="2" borderId="0" xfId="18" applyNumberFormat="1" applyFont="1" applyFill="1" applyBorder="1" applyAlignment="1" applyProtection="1">
      <alignment horizontal="right"/>
      <protection hidden="1"/>
    </xf>
    <xf numFmtId="169" fontId="34" fillId="2" borderId="21" xfId="18" applyNumberFormat="1" applyFont="1" applyFill="1" applyBorder="1" applyAlignment="1" applyProtection="1">
      <alignment horizontal="right"/>
      <protection hidden="1"/>
    </xf>
    <xf numFmtId="0" fontId="31" fillId="3" borderId="14" xfId="17" applyFont="1" applyFill="1" applyBorder="1" applyProtection="1">
      <protection hidden="1"/>
    </xf>
    <xf numFmtId="0" fontId="31" fillId="0" borderId="0" xfId="17" applyFont="1" applyProtection="1">
      <protection hidden="1"/>
    </xf>
    <xf numFmtId="0" fontId="31" fillId="3" borderId="22" xfId="17" applyFont="1" applyFill="1" applyBorder="1" applyProtection="1">
      <protection hidden="1"/>
    </xf>
    <xf numFmtId="0" fontId="23" fillId="10" borderId="14" xfId="17" applyFont="1" applyFill="1" applyBorder="1" applyAlignment="1" applyProtection="1">
      <alignment horizontal="left"/>
      <protection hidden="1"/>
    </xf>
    <xf numFmtId="0" fontId="59" fillId="10" borderId="20" xfId="17" applyFont="1" applyFill="1" applyBorder="1" applyAlignment="1" applyProtection="1">
      <alignment horizontal="left" indent="1"/>
      <protection hidden="1"/>
    </xf>
    <xf numFmtId="169" fontId="28" fillId="10" borderId="0" xfId="17" applyNumberFormat="1" applyFont="1" applyFill="1" applyProtection="1">
      <protection hidden="1"/>
    </xf>
    <xf numFmtId="169" fontId="28" fillId="10" borderId="21" xfId="17" applyNumberFormat="1" applyFont="1" applyFill="1" applyBorder="1" applyProtection="1">
      <protection hidden="1"/>
    </xf>
    <xf numFmtId="0" fontId="29" fillId="2" borderId="20" xfId="17" applyFont="1" applyFill="1" applyBorder="1" applyAlignment="1" applyProtection="1">
      <alignment horizontal="left"/>
      <protection hidden="1"/>
    </xf>
    <xf numFmtId="0" fontId="23" fillId="2" borderId="14" xfId="17" applyFont="1" applyFill="1" applyBorder="1" applyAlignment="1" applyProtection="1">
      <alignment horizontal="left"/>
      <protection hidden="1"/>
    </xf>
    <xf numFmtId="0" fontId="59" fillId="2" borderId="39" xfId="17" applyFont="1" applyFill="1" applyBorder="1" applyAlignment="1" applyProtection="1">
      <alignment horizontal="left" indent="1"/>
      <protection hidden="1"/>
    </xf>
    <xf numFmtId="169" fontId="59" fillId="2" borderId="4" xfId="17" applyNumberFormat="1" applyFont="1" applyFill="1" applyBorder="1" applyAlignment="1" applyProtection="1">
      <alignment horizontal="right"/>
      <protection hidden="1"/>
    </xf>
    <xf numFmtId="169" fontId="59" fillId="2" borderId="40" xfId="17" applyNumberFormat="1" applyFont="1" applyFill="1" applyBorder="1" applyAlignment="1" applyProtection="1">
      <alignment horizontal="right"/>
      <protection hidden="1"/>
    </xf>
    <xf numFmtId="4" fontId="23" fillId="2" borderId="14" xfId="17" applyNumberFormat="1" applyFont="1" applyFill="1" applyBorder="1" applyAlignment="1" applyProtection="1">
      <alignment horizontal="left"/>
      <protection hidden="1"/>
    </xf>
    <xf numFmtId="0" fontId="23" fillId="2" borderId="16" xfId="17" applyFont="1" applyFill="1" applyBorder="1" applyAlignment="1" applyProtection="1">
      <alignment horizontal="right"/>
      <protection hidden="1"/>
    </xf>
    <xf numFmtId="0" fontId="31" fillId="10" borderId="14" xfId="17" applyFont="1" applyFill="1" applyBorder="1" applyProtection="1">
      <protection hidden="1"/>
    </xf>
    <xf numFmtId="0" fontId="34" fillId="10" borderId="20" xfId="17" applyFont="1" applyFill="1" applyBorder="1" applyAlignment="1" applyProtection="1">
      <alignment horizontal="left" indent="1"/>
      <protection hidden="1"/>
    </xf>
    <xf numFmtId="169" fontId="28" fillId="10" borderId="0" xfId="25" applyNumberFormat="1" applyFont="1" applyFill="1" applyBorder="1" applyProtection="1">
      <protection hidden="1"/>
    </xf>
    <xf numFmtId="169" fontId="28" fillId="10" borderId="21" xfId="25" applyNumberFormat="1" applyFont="1" applyFill="1" applyBorder="1" applyProtection="1">
      <protection hidden="1"/>
    </xf>
    <xf numFmtId="0" fontId="28" fillId="3" borderId="20" xfId="17" applyFont="1" applyFill="1" applyBorder="1" applyAlignment="1" applyProtection="1">
      <alignment horizontal="left" indent="1"/>
      <protection hidden="1"/>
    </xf>
    <xf numFmtId="0" fontId="34" fillId="3" borderId="25" xfId="17" applyFont="1" applyFill="1" applyBorder="1" applyAlignment="1" applyProtection="1">
      <alignment horizontal="left" indent="1"/>
      <protection hidden="1"/>
    </xf>
    <xf numFmtId="169" fontId="28" fillId="3" borderId="26" xfId="25" applyNumberFormat="1" applyFont="1" applyFill="1" applyBorder="1" applyProtection="1">
      <protection hidden="1"/>
    </xf>
    <xf numFmtId="169" fontId="28" fillId="3" borderId="27" xfId="25" applyNumberFormat="1" applyFont="1" applyFill="1" applyBorder="1" applyProtection="1">
      <protection hidden="1"/>
    </xf>
    <xf numFmtId="0" fontId="57" fillId="3" borderId="14" xfId="17" applyFont="1" applyFill="1" applyBorder="1" applyProtection="1">
      <protection hidden="1"/>
    </xf>
    <xf numFmtId="166" fontId="58" fillId="3" borderId="15" xfId="17" applyNumberFormat="1" applyFont="1" applyFill="1" applyBorder="1" applyAlignment="1" applyProtection="1">
      <alignment horizontal="right"/>
      <protection hidden="1"/>
    </xf>
    <xf numFmtId="166" fontId="58" fillId="3" borderId="16" xfId="17" applyNumberFormat="1" applyFont="1" applyFill="1" applyBorder="1" applyAlignment="1" applyProtection="1">
      <alignment horizontal="right"/>
      <protection hidden="1"/>
    </xf>
    <xf numFmtId="0" fontId="26" fillId="3" borderId="14" xfId="17" applyFont="1" applyFill="1" applyBorder="1"/>
    <xf numFmtId="0" fontId="26" fillId="3" borderId="20" xfId="17" applyFont="1" applyFill="1" applyBorder="1"/>
    <xf numFmtId="0" fontId="57" fillId="0" borderId="20" xfId="17" applyFont="1" applyBorder="1"/>
    <xf numFmtId="0" fontId="31" fillId="2" borderId="41" xfId="17" applyFont="1" applyFill="1" applyBorder="1" applyProtection="1">
      <protection hidden="1"/>
    </xf>
    <xf numFmtId="0" fontId="57" fillId="2" borderId="20" xfId="17" applyFont="1" applyFill="1" applyBorder="1"/>
    <xf numFmtId="0" fontId="28" fillId="3" borderId="20" xfId="17" applyFont="1" applyFill="1" applyBorder="1"/>
    <xf numFmtId="0" fontId="23" fillId="3" borderId="14" xfId="17" applyFont="1" applyFill="1" applyBorder="1"/>
    <xf numFmtId="0" fontId="31" fillId="0" borderId="20" xfId="17" applyFont="1" applyBorder="1"/>
    <xf numFmtId="0" fontId="28" fillId="2" borderId="20" xfId="17" applyFont="1" applyFill="1" applyBorder="1" applyAlignment="1" applyProtection="1">
      <alignment horizontal="left" indent="1"/>
      <protection hidden="1"/>
    </xf>
    <xf numFmtId="0" fontId="31" fillId="2" borderId="22" xfId="17" applyFont="1" applyFill="1" applyBorder="1" applyProtection="1">
      <protection hidden="1"/>
    </xf>
    <xf numFmtId="0" fontId="22" fillId="12" borderId="14" xfId="24" applyFont="1" applyFill="1" applyBorder="1" applyAlignment="1">
      <alignment horizontal="left" vertical="center"/>
    </xf>
    <xf numFmtId="0" fontId="22" fillId="12" borderId="15" xfId="24" applyFont="1" applyFill="1" applyBorder="1" applyAlignment="1">
      <alignment horizontal="left" vertical="center"/>
    </xf>
    <xf numFmtId="0" fontId="22" fillId="12" borderId="16" xfId="24" applyFont="1" applyFill="1" applyBorder="1" applyAlignment="1">
      <alignment horizontal="left" vertical="center"/>
    </xf>
    <xf numFmtId="0" fontId="23" fillId="2" borderId="45" xfId="24" applyFont="1" applyFill="1" applyBorder="1" applyAlignment="1">
      <alignment horizontal="left"/>
    </xf>
    <xf numFmtId="0" fontId="31" fillId="2" borderId="14" xfId="8" applyFont="1" applyFill="1" applyBorder="1" applyAlignment="1">
      <alignment horizontal="left" vertical="center"/>
    </xf>
    <xf numFmtId="0" fontId="28" fillId="2" borderId="20" xfId="8" applyFont="1" applyFill="1" applyBorder="1" applyAlignment="1">
      <alignment horizontal="left" vertical="center"/>
    </xf>
    <xf numFmtId="0" fontId="57" fillId="2" borderId="20" xfId="8" applyFont="1" applyFill="1" applyBorder="1" applyAlignment="1">
      <alignment horizontal="left" vertical="center"/>
    </xf>
    <xf numFmtId="3" fontId="28" fillId="2" borderId="20" xfId="8" applyNumberFormat="1" applyFont="1" applyFill="1" applyBorder="1" applyAlignment="1">
      <alignment horizontal="left" vertical="center" wrapText="1"/>
    </xf>
    <xf numFmtId="3" fontId="28" fillId="2" borderId="44" xfId="8" applyNumberFormat="1" applyFont="1" applyFill="1" applyBorder="1" applyAlignment="1">
      <alignment horizontal="left" vertical="center" wrapText="1"/>
    </xf>
    <xf numFmtId="3" fontId="57" fillId="2" borderId="20" xfId="8" applyNumberFormat="1" applyFont="1" applyFill="1" applyBorder="1" applyAlignment="1">
      <alignment horizontal="left" vertical="center" wrapText="1"/>
    </xf>
    <xf numFmtId="3" fontId="28" fillId="2" borderId="25" xfId="8" applyNumberFormat="1" applyFont="1" applyFill="1" applyBorder="1" applyAlignment="1">
      <alignment horizontal="left" vertical="center" wrapText="1"/>
    </xf>
    <xf numFmtId="0" fontId="34" fillId="3" borderId="0" xfId="17" applyFont="1" applyFill="1" applyProtection="1">
      <protection hidden="1"/>
    </xf>
    <xf numFmtId="3" fontId="28" fillId="3" borderId="0" xfId="1" applyNumberFormat="1" applyFont="1" applyFill="1" applyProtection="1">
      <protection hidden="1"/>
    </xf>
    <xf numFmtId="0" fontId="47" fillId="3" borderId="0" xfId="1" applyFont="1" applyFill="1" applyAlignment="1" applyProtection="1">
      <alignment horizontal="left"/>
      <protection hidden="1"/>
    </xf>
    <xf numFmtId="166" fontId="47" fillId="2" borderId="0" xfId="1" applyNumberFormat="1" applyFont="1" applyFill="1" applyAlignment="1" applyProtection="1">
      <alignment horizontal="right"/>
      <protection hidden="1"/>
    </xf>
    <xf numFmtId="0" fontId="28" fillId="3" borderId="0" xfId="1" applyFont="1" applyFill="1" applyAlignment="1" applyProtection="1">
      <alignment horizontal="left"/>
      <protection hidden="1"/>
    </xf>
    <xf numFmtId="0" fontId="25" fillId="3" borderId="0" xfId="1" applyFont="1" applyFill="1" applyAlignment="1" applyProtection="1">
      <alignment horizontal="left"/>
      <protection hidden="1"/>
    </xf>
    <xf numFmtId="171" fontId="25" fillId="3" borderId="0" xfId="1" applyNumberFormat="1" applyFont="1" applyFill="1" applyProtection="1">
      <protection hidden="1"/>
    </xf>
    <xf numFmtId="164" fontId="28" fillId="0" borderId="0" xfId="14" applyNumberFormat="1" applyFont="1" applyAlignment="1">
      <alignment readingOrder="1"/>
    </xf>
    <xf numFmtId="0" fontId="28" fillId="0" borderId="0" xfId="14" applyFont="1" applyAlignment="1">
      <alignment readingOrder="1"/>
    </xf>
    <xf numFmtId="0" fontId="28" fillId="0" borderId="0" xfId="14" applyFont="1" applyAlignment="1">
      <alignment horizontal="left"/>
    </xf>
    <xf numFmtId="0" fontId="28" fillId="0" borderId="0" xfId="14" applyFont="1"/>
    <xf numFmtId="0" fontId="33" fillId="3" borderId="0" xfId="1" applyFont="1" applyFill="1" applyAlignment="1" applyProtection="1">
      <alignment horizontal="right"/>
      <protection hidden="1"/>
    </xf>
    <xf numFmtId="0" fontId="32" fillId="3" borderId="0" xfId="1" applyFont="1" applyFill="1" applyAlignment="1" applyProtection="1">
      <alignment horizontal="right"/>
      <protection hidden="1"/>
    </xf>
    <xf numFmtId="0" fontId="31" fillId="3" borderId="0" xfId="1" applyFont="1" applyFill="1" applyAlignment="1" applyProtection="1">
      <alignment horizontal="right"/>
      <protection hidden="1"/>
    </xf>
    <xf numFmtId="0" fontId="25" fillId="3" borderId="0" xfId="1" applyFont="1" applyFill="1" applyProtection="1">
      <protection hidden="1"/>
    </xf>
    <xf numFmtId="165" fontId="28" fillId="3" borderId="0" xfId="1" applyNumberFormat="1" applyFont="1" applyFill="1" applyProtection="1">
      <protection hidden="1"/>
    </xf>
    <xf numFmtId="171" fontId="28" fillId="3" borderId="0" xfId="1" applyNumberFormat="1" applyFont="1" applyFill="1" applyProtection="1">
      <protection hidden="1"/>
    </xf>
    <xf numFmtId="0" fontId="22" fillId="11" borderId="1" xfId="1" applyFont="1" applyFill="1" applyBorder="1" applyAlignment="1" applyProtection="1">
      <alignment horizontal="center" vertical="center"/>
      <protection hidden="1"/>
    </xf>
    <xf numFmtId="4" fontId="57" fillId="2" borderId="11" xfId="0" applyNumberFormat="1" applyFont="1" applyFill="1" applyBorder="1" applyAlignment="1">
      <alignment horizontal="left" vertical="center"/>
    </xf>
    <xf numFmtId="175" fontId="19" fillId="13" borderId="0" xfId="26" applyNumberFormat="1" applyFont="1" applyFill="1"/>
    <xf numFmtId="0" fontId="28" fillId="3" borderId="7" xfId="17" applyFont="1" applyFill="1" applyBorder="1" applyAlignment="1" applyProtection="1">
      <alignment horizontal="left" indent="1"/>
      <protection hidden="1"/>
    </xf>
    <xf numFmtId="0" fontId="19" fillId="3" borderId="11" xfId="0" applyFont="1" applyFill="1" applyBorder="1" applyAlignment="1">
      <alignment horizontal="left"/>
    </xf>
    <xf numFmtId="175" fontId="19" fillId="13" borderId="0" xfId="26" applyNumberFormat="1" applyFont="1" applyFill="1" applyAlignment="1">
      <alignment horizontal="left"/>
    </xf>
    <xf numFmtId="176" fontId="28" fillId="3" borderId="0" xfId="17" applyNumberFormat="1" applyFont="1" applyFill="1" applyProtection="1">
      <protection hidden="1"/>
    </xf>
    <xf numFmtId="176" fontId="28" fillId="3" borderId="21" xfId="17" applyNumberFormat="1" applyFont="1" applyFill="1" applyBorder="1" applyProtection="1">
      <protection hidden="1"/>
    </xf>
    <xf numFmtId="176" fontId="28" fillId="2" borderId="0" xfId="17" applyNumberFormat="1" applyFont="1" applyFill="1" applyAlignment="1" applyProtection="1">
      <alignment horizontal="right"/>
      <protection hidden="1"/>
    </xf>
    <xf numFmtId="176" fontId="28" fillId="2" borderId="21" xfId="17" applyNumberFormat="1" applyFont="1" applyFill="1" applyBorder="1" applyAlignment="1" applyProtection="1">
      <alignment horizontal="right"/>
      <protection hidden="1"/>
    </xf>
    <xf numFmtId="176" fontId="31" fillId="3" borderId="15" xfId="17" applyNumberFormat="1" applyFont="1" applyFill="1" applyBorder="1" applyProtection="1">
      <protection hidden="1"/>
    </xf>
    <xf numFmtId="176" fontId="31" fillId="3" borderId="16" xfId="17" applyNumberFormat="1" applyFont="1" applyFill="1" applyBorder="1" applyProtection="1">
      <protection hidden="1"/>
    </xf>
    <xf numFmtId="176" fontId="23" fillId="2" borderId="23" xfId="17" applyNumberFormat="1" applyFont="1" applyFill="1" applyBorder="1" applyProtection="1">
      <protection hidden="1"/>
    </xf>
    <xf numFmtId="176" fontId="23" fillId="2" borderId="24" xfId="17" applyNumberFormat="1" applyFont="1" applyFill="1" applyBorder="1" applyProtection="1">
      <protection hidden="1"/>
    </xf>
    <xf numFmtId="176" fontId="31" fillId="10" borderId="15" xfId="17" applyNumberFormat="1" applyFont="1" applyFill="1" applyBorder="1" applyProtection="1">
      <protection hidden="1"/>
    </xf>
    <xf numFmtId="176" fontId="31" fillId="10" borderId="16" xfId="17" applyNumberFormat="1" applyFont="1" applyFill="1" applyBorder="1" applyProtection="1">
      <protection hidden="1"/>
    </xf>
    <xf numFmtId="176" fontId="23" fillId="2" borderId="15" xfId="17" applyNumberFormat="1" applyFont="1" applyFill="1" applyBorder="1" applyAlignment="1" applyProtection="1">
      <alignment horizontal="right"/>
      <protection hidden="1"/>
    </xf>
    <xf numFmtId="176" fontId="23" fillId="2" borderId="16" xfId="17" applyNumberFormat="1" applyFont="1" applyFill="1" applyBorder="1" applyAlignment="1" applyProtection="1">
      <alignment horizontal="right"/>
      <protection hidden="1"/>
    </xf>
    <xf numFmtId="176" fontId="31" fillId="3" borderId="0" xfId="17" applyNumberFormat="1" applyFont="1" applyFill="1" applyProtection="1">
      <protection hidden="1"/>
    </xf>
    <xf numFmtId="176" fontId="31" fillId="3" borderId="21" xfId="17" applyNumberFormat="1" applyFont="1" applyFill="1" applyBorder="1" applyProtection="1">
      <protection hidden="1"/>
    </xf>
    <xf numFmtId="176" fontId="34" fillId="3" borderId="0" xfId="17" applyNumberFormat="1" applyFont="1" applyFill="1" applyProtection="1">
      <protection hidden="1"/>
    </xf>
    <xf numFmtId="176" fontId="34" fillId="3" borderId="21" xfId="17" applyNumberFormat="1" applyFont="1" applyFill="1" applyBorder="1" applyProtection="1">
      <protection hidden="1"/>
    </xf>
    <xf numFmtId="176" fontId="23" fillId="2" borderId="42" xfId="17" applyNumberFormat="1" applyFont="1" applyFill="1" applyBorder="1" applyProtection="1">
      <protection hidden="1"/>
    </xf>
    <xf numFmtId="176" fontId="23" fillId="2" borderId="43" xfId="17" applyNumberFormat="1" applyFont="1" applyFill="1" applyBorder="1" applyProtection="1">
      <protection hidden="1"/>
    </xf>
    <xf numFmtId="176" fontId="23" fillId="2" borderId="0" xfId="17" applyNumberFormat="1" applyFont="1" applyFill="1" applyProtection="1">
      <protection hidden="1"/>
    </xf>
    <xf numFmtId="176" fontId="23" fillId="2" borderId="21" xfId="17" applyNumberFormat="1" applyFont="1" applyFill="1" applyBorder="1" applyProtection="1">
      <protection hidden="1"/>
    </xf>
    <xf numFmtId="176" fontId="28" fillId="2" borderId="15" xfId="17" applyNumberFormat="1" applyFont="1" applyFill="1" applyBorder="1" applyAlignment="1" applyProtection="1">
      <alignment horizontal="right"/>
      <protection hidden="1"/>
    </xf>
    <xf numFmtId="176" fontId="28" fillId="2" borderId="16" xfId="17" applyNumberFormat="1" applyFont="1" applyFill="1" applyBorder="1" applyAlignment="1" applyProtection="1">
      <alignment horizontal="right"/>
      <protection hidden="1"/>
    </xf>
    <xf numFmtId="176" fontId="28" fillId="2" borderId="26" xfId="17" applyNumberFormat="1" applyFont="1" applyFill="1" applyBorder="1" applyAlignment="1" applyProtection="1">
      <alignment horizontal="right"/>
      <protection hidden="1"/>
    </xf>
    <xf numFmtId="176" fontId="28" fillId="2" borderId="27" xfId="17" applyNumberFormat="1" applyFont="1" applyFill="1" applyBorder="1" applyAlignment="1" applyProtection="1">
      <alignment horizontal="right"/>
      <protection hidden="1"/>
    </xf>
    <xf numFmtId="176" fontId="31" fillId="2" borderId="15" xfId="17" applyNumberFormat="1" applyFont="1" applyFill="1" applyBorder="1" applyAlignment="1" applyProtection="1">
      <alignment horizontal="right"/>
      <protection hidden="1"/>
    </xf>
    <xf numFmtId="176" fontId="31" fillId="2" borderId="30" xfId="17" applyNumberFormat="1" applyFont="1" applyFill="1" applyBorder="1" applyAlignment="1" applyProtection="1">
      <alignment horizontal="right"/>
      <protection hidden="1"/>
    </xf>
    <xf numFmtId="176" fontId="28" fillId="2" borderId="8" xfId="17" applyNumberFormat="1" applyFont="1" applyFill="1" applyBorder="1" applyAlignment="1" applyProtection="1">
      <alignment horizontal="right"/>
      <protection hidden="1"/>
    </xf>
    <xf numFmtId="176" fontId="31" fillId="2" borderId="0" xfId="17" applyNumberFormat="1" applyFont="1" applyFill="1" applyAlignment="1" applyProtection="1">
      <alignment horizontal="right"/>
      <protection hidden="1"/>
    </xf>
    <xf numFmtId="176" fontId="31" fillId="2" borderId="31" xfId="17" applyNumberFormat="1" applyFont="1" applyFill="1" applyBorder="1" applyAlignment="1" applyProtection="1">
      <alignment horizontal="right"/>
      <protection hidden="1"/>
    </xf>
    <xf numFmtId="176" fontId="28" fillId="2" borderId="30" xfId="17" applyNumberFormat="1" applyFont="1" applyFill="1" applyBorder="1" applyAlignment="1" applyProtection="1">
      <alignment horizontal="right"/>
      <protection hidden="1"/>
    </xf>
    <xf numFmtId="176" fontId="28" fillId="2" borderId="33" xfId="17" applyNumberFormat="1" applyFont="1" applyFill="1" applyBorder="1" applyAlignment="1" applyProtection="1">
      <alignment horizontal="right"/>
      <protection hidden="1"/>
    </xf>
    <xf numFmtId="176" fontId="28" fillId="2" borderId="29" xfId="17" applyNumberFormat="1" applyFont="1" applyFill="1" applyBorder="1" applyAlignment="1" applyProtection="1">
      <alignment horizontal="right"/>
      <protection hidden="1"/>
    </xf>
    <xf numFmtId="176" fontId="28" fillId="2" borderId="2" xfId="17" applyNumberFormat="1" applyFont="1" applyFill="1" applyBorder="1" applyAlignment="1" applyProtection="1">
      <alignment horizontal="right"/>
      <protection hidden="1"/>
    </xf>
    <xf numFmtId="176" fontId="31" fillId="2" borderId="29" xfId="17" applyNumberFormat="1" applyFont="1" applyFill="1" applyBorder="1" applyAlignment="1" applyProtection="1">
      <alignment horizontal="right"/>
      <protection hidden="1"/>
    </xf>
    <xf numFmtId="176" fontId="31" fillId="2" borderId="2" xfId="17" applyNumberFormat="1" applyFont="1" applyFill="1" applyBorder="1" applyAlignment="1" applyProtection="1">
      <alignment horizontal="right"/>
      <protection hidden="1"/>
    </xf>
    <xf numFmtId="176" fontId="31" fillId="2" borderId="23" xfId="17" applyNumberFormat="1" applyFont="1" applyFill="1" applyBorder="1" applyAlignment="1" applyProtection="1">
      <alignment horizontal="right"/>
      <protection hidden="1"/>
    </xf>
    <xf numFmtId="176" fontId="31" fillId="2" borderId="35" xfId="17" applyNumberFormat="1" applyFont="1" applyFill="1" applyBorder="1" applyAlignment="1" applyProtection="1">
      <alignment horizontal="right"/>
      <protection hidden="1"/>
    </xf>
    <xf numFmtId="176" fontId="28" fillId="2" borderId="0" xfId="1" applyNumberFormat="1" applyFont="1" applyFill="1" applyAlignment="1" applyProtection="1">
      <alignment horizontal="right"/>
      <protection hidden="1"/>
    </xf>
    <xf numFmtId="0" fontId="34" fillId="3" borderId="20" xfId="17" applyFont="1" applyFill="1" applyBorder="1" applyProtection="1">
      <protection hidden="1"/>
    </xf>
    <xf numFmtId="169" fontId="34" fillId="3" borderId="0" xfId="9" applyNumberFormat="1" applyFont="1" applyFill="1" applyProtection="1">
      <protection hidden="1"/>
    </xf>
    <xf numFmtId="169" fontId="34" fillId="3" borderId="21" xfId="9" applyNumberFormat="1" applyFont="1" applyFill="1" applyBorder="1" applyProtection="1">
      <protection hidden="1"/>
    </xf>
    <xf numFmtId="0" fontId="31" fillId="3" borderId="15" xfId="17" applyFont="1" applyFill="1" applyBorder="1" applyProtection="1">
      <protection hidden="1"/>
    </xf>
    <xf numFmtId="0" fontId="34" fillId="2" borderId="20" xfId="17" applyFont="1" applyFill="1" applyBorder="1" applyAlignment="1" applyProtection="1">
      <alignment horizontal="left"/>
      <protection hidden="1"/>
    </xf>
    <xf numFmtId="3" fontId="23" fillId="2" borderId="14" xfId="8" applyNumberFormat="1" applyFont="1" applyFill="1" applyBorder="1" applyAlignment="1">
      <alignment horizontal="left" vertical="center" wrapText="1"/>
    </xf>
    <xf numFmtId="0" fontId="23" fillId="2" borderId="14" xfId="24" applyFont="1" applyFill="1" applyBorder="1" applyAlignment="1">
      <alignment horizontal="left" vertical="center"/>
    </xf>
    <xf numFmtId="0" fontId="23" fillId="2" borderId="45" xfId="24" applyFont="1" applyFill="1" applyBorder="1" applyAlignment="1">
      <alignment horizontal="left" vertical="center"/>
    </xf>
    <xf numFmtId="3" fontId="23" fillId="2" borderId="50" xfId="8" applyNumberFormat="1" applyFont="1" applyFill="1" applyBorder="1" applyAlignment="1">
      <alignment horizontal="left" vertical="center" wrapText="1"/>
    </xf>
    <xf numFmtId="3" fontId="23" fillId="2" borderId="46" xfId="24" applyNumberFormat="1" applyFont="1" applyFill="1" applyBorder="1" applyAlignment="1">
      <alignment horizontal="right"/>
    </xf>
    <xf numFmtId="3" fontId="23" fillId="2" borderId="47" xfId="24" applyNumberFormat="1" applyFont="1" applyFill="1" applyBorder="1" applyAlignment="1">
      <alignment horizontal="right"/>
    </xf>
    <xf numFmtId="176" fontId="31" fillId="2" borderId="15" xfId="8" applyNumberFormat="1" applyFont="1" applyFill="1" applyBorder="1" applyAlignment="1">
      <alignment horizontal="right" vertical="center"/>
    </xf>
    <xf numFmtId="176" fontId="31" fillId="2" borderId="16" xfId="8" applyNumberFormat="1" applyFont="1" applyFill="1" applyBorder="1" applyAlignment="1">
      <alignment horizontal="right" vertical="center"/>
    </xf>
    <xf numFmtId="176" fontId="28" fillId="2" borderId="0" xfId="8" applyNumberFormat="1" applyFont="1" applyFill="1" applyAlignment="1">
      <alignment horizontal="right" vertical="center"/>
    </xf>
    <xf numFmtId="176" fontId="28" fillId="2" borderId="21" xfId="8" applyNumberFormat="1" applyFont="1" applyFill="1" applyBorder="1" applyAlignment="1">
      <alignment horizontal="right" vertical="center"/>
    </xf>
    <xf numFmtId="176" fontId="24" fillId="2" borderId="0" xfId="8" applyNumberFormat="1" applyFont="1" applyFill="1" applyAlignment="1">
      <alignment horizontal="right" vertical="center"/>
    </xf>
    <xf numFmtId="176" fontId="24" fillId="2" borderId="21" xfId="8" applyNumberFormat="1" applyFont="1" applyFill="1" applyBorder="1" applyAlignment="1">
      <alignment horizontal="right" vertical="center"/>
    </xf>
    <xf numFmtId="176" fontId="28" fillId="2" borderId="0" xfId="8" applyNumberFormat="1" applyFont="1" applyFill="1" applyAlignment="1">
      <alignment horizontal="right" vertical="center" wrapText="1"/>
    </xf>
    <xf numFmtId="176" fontId="28" fillId="2" borderId="21" xfId="8" applyNumberFormat="1" applyFont="1" applyFill="1" applyBorder="1" applyAlignment="1">
      <alignment horizontal="right" vertical="center" wrapText="1"/>
    </xf>
    <xf numFmtId="176" fontId="28" fillId="0" borderId="0" xfId="8" applyNumberFormat="1" applyFont="1" applyAlignment="1">
      <alignment horizontal="right" vertical="center" wrapText="1"/>
    </xf>
    <xf numFmtId="176" fontId="28" fillId="0" borderId="21" xfId="8" applyNumberFormat="1" applyFont="1" applyBorder="1" applyAlignment="1">
      <alignment horizontal="right" vertical="center" wrapText="1"/>
    </xf>
    <xf numFmtId="176" fontId="28" fillId="2" borderId="3" xfId="8" applyNumberFormat="1" applyFont="1" applyFill="1" applyBorder="1" applyAlignment="1">
      <alignment horizontal="right" vertical="center" wrapText="1"/>
    </xf>
    <xf numFmtId="176" fontId="28" fillId="2" borderId="48" xfId="8" applyNumberFormat="1" applyFont="1" applyFill="1" applyBorder="1" applyAlignment="1">
      <alignment horizontal="right" vertical="center" wrapText="1"/>
    </xf>
    <xf numFmtId="176" fontId="23" fillId="2" borderId="15" xfId="8" applyNumberFormat="1" applyFont="1" applyFill="1" applyBorder="1" applyAlignment="1">
      <alignment horizontal="right" vertical="center" wrapText="1"/>
    </xf>
    <xf numFmtId="176" fontId="23" fillId="2" borderId="16" xfId="8" applyNumberFormat="1" applyFont="1" applyFill="1" applyBorder="1" applyAlignment="1">
      <alignment horizontal="right" vertical="center" wrapText="1"/>
    </xf>
    <xf numFmtId="176" fontId="24" fillId="2" borderId="0" xfId="8" applyNumberFormat="1" applyFont="1" applyFill="1" applyAlignment="1">
      <alignment horizontal="right" vertical="center" wrapText="1"/>
    </xf>
    <xf numFmtId="176" fontId="24" fillId="2" borderId="21" xfId="8" applyNumberFormat="1" applyFont="1" applyFill="1" applyBorder="1" applyAlignment="1">
      <alignment horizontal="right" vertical="center" wrapText="1"/>
    </xf>
    <xf numFmtId="176" fontId="23" fillId="2" borderId="15" xfId="24" applyNumberFormat="1" applyFont="1" applyFill="1" applyBorder="1" applyAlignment="1">
      <alignment horizontal="right" vertical="center"/>
    </xf>
    <xf numFmtId="176" fontId="23" fillId="2" borderId="16" xfId="24" applyNumberFormat="1" applyFont="1" applyFill="1" applyBorder="1" applyAlignment="1">
      <alignment horizontal="right" vertical="center"/>
    </xf>
    <xf numFmtId="176" fontId="23" fillId="2" borderId="46" xfId="24" applyNumberFormat="1" applyFont="1" applyFill="1" applyBorder="1" applyAlignment="1">
      <alignment horizontal="right" vertical="center"/>
    </xf>
    <xf numFmtId="176" fontId="23" fillId="2" borderId="47" xfId="24" applyNumberFormat="1" applyFont="1" applyFill="1" applyBorder="1" applyAlignment="1">
      <alignment horizontal="right" vertical="center"/>
    </xf>
    <xf numFmtId="176" fontId="23" fillId="2" borderId="13" xfId="8" applyNumberFormat="1" applyFont="1" applyFill="1" applyBorder="1" applyAlignment="1">
      <alignment horizontal="right" vertical="center" wrapText="1"/>
    </xf>
    <xf numFmtId="176" fontId="23" fillId="2" borderId="51" xfId="8" applyNumberFormat="1" applyFont="1" applyFill="1" applyBorder="1" applyAlignment="1">
      <alignment horizontal="right" vertical="center" wrapText="1"/>
    </xf>
    <xf numFmtId="176" fontId="28" fillId="2" borderId="26" xfId="8" applyNumberFormat="1" applyFont="1" applyFill="1" applyBorder="1" applyAlignment="1">
      <alignment horizontal="right" vertical="center" wrapText="1"/>
    </xf>
    <xf numFmtId="176" fontId="28" fillId="2" borderId="27" xfId="8" applyNumberFormat="1" applyFont="1" applyFill="1" applyBorder="1" applyAlignment="1">
      <alignment horizontal="right" vertical="center" wrapText="1"/>
    </xf>
    <xf numFmtId="176" fontId="28" fillId="3" borderId="18" xfId="17" applyNumberFormat="1" applyFont="1" applyFill="1" applyBorder="1" applyProtection="1">
      <protection hidden="1"/>
    </xf>
    <xf numFmtId="176" fontId="28" fillId="3" borderId="19" xfId="17" applyNumberFormat="1" applyFont="1" applyFill="1" applyBorder="1" applyProtection="1">
      <protection hidden="1"/>
    </xf>
    <xf numFmtId="0" fontId="28" fillId="2" borderId="14" xfId="17" applyFont="1" applyFill="1" applyBorder="1" applyAlignment="1" applyProtection="1">
      <alignment horizontal="left" indent="1"/>
      <protection hidden="1"/>
    </xf>
    <xf numFmtId="0" fontId="30" fillId="3" borderId="0" xfId="1" applyFont="1" applyFill="1" applyAlignment="1" applyProtection="1">
      <alignment horizontal="left"/>
      <protection hidden="1"/>
    </xf>
    <xf numFmtId="0" fontId="63" fillId="3" borderId="0" xfId="1" applyFont="1" applyFill="1" applyProtection="1">
      <protection hidden="1"/>
    </xf>
    <xf numFmtId="0" fontId="64" fillId="3" borderId="16" xfId="1" applyFont="1" applyFill="1" applyBorder="1" applyAlignment="1" applyProtection="1">
      <alignment horizontal="left"/>
      <protection hidden="1"/>
    </xf>
    <xf numFmtId="0" fontId="28" fillId="0" borderId="0" xfId="1" applyFont="1" applyProtection="1">
      <protection hidden="1"/>
    </xf>
    <xf numFmtId="0" fontId="64" fillId="3" borderId="0" xfId="1" applyFont="1" applyFill="1" applyAlignment="1" applyProtection="1">
      <alignment horizontal="left"/>
      <protection hidden="1"/>
    </xf>
    <xf numFmtId="0" fontId="28" fillId="3" borderId="21" xfId="1" applyFont="1" applyFill="1" applyBorder="1" applyProtection="1">
      <protection hidden="1"/>
    </xf>
    <xf numFmtId="0" fontId="28" fillId="3" borderId="20" xfId="1" applyFont="1" applyFill="1" applyBorder="1" applyProtection="1">
      <protection hidden="1"/>
    </xf>
    <xf numFmtId="0" fontId="65" fillId="3" borderId="0" xfId="1" applyFont="1" applyFill="1" applyAlignment="1" applyProtection="1">
      <alignment horizontal="left"/>
      <protection hidden="1"/>
    </xf>
    <xf numFmtId="0" fontId="31" fillId="0" borderId="0" xfId="1" applyFont="1" applyProtection="1">
      <protection hidden="1"/>
    </xf>
    <xf numFmtId="0" fontId="34" fillId="3" borderId="0" xfId="1" applyFont="1" applyFill="1" applyProtection="1">
      <protection hidden="1"/>
    </xf>
    <xf numFmtId="0" fontId="66" fillId="3" borderId="0" xfId="1" applyFont="1" applyFill="1" applyAlignment="1" applyProtection="1">
      <alignment horizontal="left"/>
      <protection hidden="1"/>
    </xf>
    <xf numFmtId="0" fontId="34" fillId="0" borderId="0" xfId="1" applyFont="1" applyProtection="1">
      <protection hidden="1"/>
    </xf>
    <xf numFmtId="3" fontId="25" fillId="3" borderId="0" xfId="1" applyNumberFormat="1" applyFont="1" applyFill="1" applyProtection="1">
      <protection hidden="1"/>
    </xf>
    <xf numFmtId="0" fontId="25" fillId="0" borderId="0" xfId="1" applyFont="1" applyProtection="1">
      <protection hidden="1"/>
    </xf>
    <xf numFmtId="0" fontId="19" fillId="0" borderId="20" xfId="17" applyFont="1" applyBorder="1"/>
    <xf numFmtId="0" fontId="19" fillId="0" borderId="20" xfId="17" applyFont="1" applyBorder="1" applyAlignment="1">
      <alignment horizontal="left"/>
    </xf>
    <xf numFmtId="0" fontId="19" fillId="0" borderId="14" xfId="17" applyFont="1" applyBorder="1" applyAlignment="1">
      <alignment horizontal="left"/>
    </xf>
    <xf numFmtId="0" fontId="19" fillId="0" borderId="17" xfId="17" applyFont="1" applyBorder="1" applyAlignment="1">
      <alignment horizontal="left"/>
    </xf>
    <xf numFmtId="0" fontId="19" fillId="3" borderId="20" xfId="17" applyFont="1" applyFill="1" applyBorder="1"/>
    <xf numFmtId="0" fontId="30" fillId="0" borderId="0" xfId="1" applyFont="1" applyAlignment="1" applyProtection="1">
      <alignment horizontal="left"/>
      <protection hidden="1"/>
    </xf>
    <xf numFmtId="0" fontId="55" fillId="3" borderId="0" xfId="1" applyFont="1" applyFill="1" applyAlignment="1" applyProtection="1">
      <alignment horizontal="left"/>
      <protection hidden="1"/>
    </xf>
    <xf numFmtId="0" fontId="19" fillId="0" borderId="0" xfId="0" applyFont="1"/>
    <xf numFmtId="0" fontId="19" fillId="0" borderId="6" xfId="0" applyFont="1" applyBorder="1"/>
    <xf numFmtId="0" fontId="19" fillId="0" borderId="10" xfId="0" applyFont="1" applyBorder="1"/>
    <xf numFmtId="0" fontId="19" fillId="0" borderId="0" xfId="0" applyFont="1" applyAlignment="1">
      <alignment horizontal="left"/>
    </xf>
    <xf numFmtId="0" fontId="22" fillId="11" borderId="53" xfId="1" applyFont="1" applyFill="1" applyBorder="1" applyAlignment="1" applyProtection="1">
      <alignment horizontal="center" vertical="center"/>
      <protection hidden="1"/>
    </xf>
    <xf numFmtId="0" fontId="22" fillId="11" borderId="54" xfId="1" applyFont="1" applyFill="1" applyBorder="1" applyAlignment="1" applyProtection="1">
      <alignment horizontal="center" vertical="center"/>
      <protection hidden="1"/>
    </xf>
    <xf numFmtId="0" fontId="60" fillId="11" borderId="12" xfId="1" applyFont="1" applyFill="1" applyBorder="1" applyAlignment="1" applyProtection="1">
      <alignment horizontal="left" vertical="center"/>
      <protection hidden="1"/>
    </xf>
    <xf numFmtId="0" fontId="22" fillId="11" borderId="15" xfId="1" applyFont="1" applyFill="1" applyBorder="1" applyAlignment="1" applyProtection="1">
      <alignment horizontal="center" vertical="center"/>
      <protection hidden="1"/>
    </xf>
    <xf numFmtId="0" fontId="22" fillId="11" borderId="16" xfId="1" applyFont="1" applyFill="1" applyBorder="1" applyAlignment="1" applyProtection="1">
      <alignment horizontal="center" vertical="center"/>
      <protection hidden="1"/>
    </xf>
    <xf numFmtId="0" fontId="28" fillId="2" borderId="20" xfId="1" applyFont="1" applyFill="1" applyBorder="1" applyAlignment="1" applyProtection="1">
      <alignment horizontal="left"/>
      <protection hidden="1"/>
    </xf>
    <xf numFmtId="0" fontId="57" fillId="2" borderId="20" xfId="1" applyFont="1" applyFill="1" applyBorder="1" applyAlignment="1" applyProtection="1">
      <alignment horizontal="left"/>
      <protection hidden="1"/>
    </xf>
    <xf numFmtId="0" fontId="34" fillId="2" borderId="20" xfId="1" applyFont="1" applyFill="1" applyBorder="1" applyAlignment="1" applyProtection="1">
      <alignment horizontal="left" indent="1"/>
      <protection hidden="1"/>
    </xf>
    <xf numFmtId="0" fontId="34" fillId="2" borderId="20" xfId="1" applyFont="1" applyFill="1" applyBorder="1" applyAlignment="1" applyProtection="1">
      <alignment horizontal="left" indent="2"/>
      <protection hidden="1"/>
    </xf>
    <xf numFmtId="0" fontId="34" fillId="2" borderId="55" xfId="1" applyFont="1" applyFill="1" applyBorder="1" applyAlignment="1" applyProtection="1">
      <alignment horizontal="left" indent="1"/>
      <protection hidden="1"/>
    </xf>
    <xf numFmtId="169" fontId="34" fillId="2" borderId="20" xfId="2" applyNumberFormat="1" applyFont="1" applyFill="1" applyBorder="1" applyAlignment="1" applyProtection="1">
      <alignment horizontal="right"/>
      <protection hidden="1"/>
    </xf>
    <xf numFmtId="169" fontId="34" fillId="2" borderId="21" xfId="2" applyNumberFormat="1" applyFont="1" applyFill="1" applyBorder="1" applyAlignment="1" applyProtection="1">
      <alignment horizontal="right"/>
      <protection hidden="1"/>
    </xf>
    <xf numFmtId="9" fontId="35" fillId="2" borderId="20" xfId="2" applyFont="1" applyFill="1" applyBorder="1" applyAlignment="1" applyProtection="1">
      <alignment horizontal="right"/>
      <protection hidden="1"/>
    </xf>
    <xf numFmtId="9" fontId="35" fillId="2" borderId="21" xfId="2" applyFont="1" applyFill="1" applyBorder="1" applyAlignment="1" applyProtection="1">
      <alignment horizontal="right"/>
      <protection hidden="1"/>
    </xf>
    <xf numFmtId="0" fontId="23" fillId="2" borderId="55" xfId="1" applyFont="1" applyFill="1" applyBorder="1" applyAlignment="1" applyProtection="1">
      <alignment horizontal="right"/>
      <protection hidden="1"/>
    </xf>
    <xf numFmtId="0" fontId="23" fillId="2" borderId="56" xfId="1" applyFont="1" applyFill="1" applyBorder="1" applyAlignment="1" applyProtection="1">
      <alignment horizontal="right"/>
      <protection hidden="1"/>
    </xf>
    <xf numFmtId="0" fontId="23" fillId="2" borderId="57" xfId="1" applyFont="1" applyFill="1" applyBorder="1" applyAlignment="1" applyProtection="1">
      <alignment horizontal="right"/>
      <protection hidden="1"/>
    </xf>
    <xf numFmtId="169" fontId="34" fillId="2" borderId="55" xfId="2" applyNumberFormat="1" applyFont="1" applyFill="1" applyBorder="1" applyAlignment="1" applyProtection="1">
      <alignment horizontal="right"/>
      <protection hidden="1"/>
    </xf>
    <xf numFmtId="169" fontId="34" fillId="2" borderId="56" xfId="2" applyNumberFormat="1" applyFont="1" applyFill="1" applyBorder="1" applyAlignment="1" applyProtection="1">
      <alignment horizontal="right"/>
      <protection hidden="1"/>
    </xf>
    <xf numFmtId="169" fontId="34" fillId="2" borderId="57" xfId="2" applyNumberFormat="1" applyFont="1" applyFill="1" applyBorder="1" applyAlignment="1" applyProtection="1">
      <alignment horizontal="right"/>
      <protection hidden="1"/>
    </xf>
    <xf numFmtId="0" fontId="57" fillId="2" borderId="20" xfId="1" applyFont="1" applyFill="1" applyBorder="1" applyProtection="1">
      <protection hidden="1"/>
    </xf>
    <xf numFmtId="0" fontId="28" fillId="3" borderId="20" xfId="1" applyFont="1" applyFill="1" applyBorder="1" applyAlignment="1" applyProtection="1">
      <alignment horizontal="left"/>
      <protection hidden="1"/>
    </xf>
    <xf numFmtId="0" fontId="57" fillId="3" borderId="20" xfId="1" applyFont="1" applyFill="1" applyBorder="1" applyProtection="1">
      <protection hidden="1"/>
    </xf>
    <xf numFmtId="0" fontId="34" fillId="3" borderId="20" xfId="1" applyFont="1" applyFill="1" applyBorder="1" applyAlignment="1" applyProtection="1">
      <alignment horizontal="left" indent="1"/>
      <protection hidden="1"/>
    </xf>
    <xf numFmtId="0" fontId="28" fillId="2" borderId="20" xfId="1" applyFont="1" applyFill="1" applyBorder="1" applyProtection="1">
      <protection hidden="1"/>
    </xf>
    <xf numFmtId="0" fontId="34" fillId="3" borderId="20" xfId="1" applyFont="1" applyFill="1" applyBorder="1" applyAlignment="1" applyProtection="1">
      <alignment horizontal="left" indent="2"/>
      <protection hidden="1"/>
    </xf>
    <xf numFmtId="0" fontId="34" fillId="3" borderId="55" xfId="1" applyFont="1" applyFill="1" applyBorder="1" applyAlignment="1" applyProtection="1">
      <alignment horizontal="left" indent="1"/>
      <protection hidden="1"/>
    </xf>
    <xf numFmtId="0" fontId="35" fillId="2" borderId="20" xfId="1" applyFont="1" applyFill="1" applyBorder="1" applyAlignment="1" applyProtection="1">
      <alignment horizontal="left" indent="1"/>
      <protection hidden="1"/>
    </xf>
    <xf numFmtId="0" fontId="35" fillId="3" borderId="20" xfId="1" applyFont="1" applyFill="1" applyBorder="1" applyAlignment="1" applyProtection="1">
      <alignment horizontal="left" indent="1"/>
      <protection hidden="1"/>
    </xf>
    <xf numFmtId="169" fontId="35" fillId="2" borderId="20" xfId="2" applyNumberFormat="1" applyFont="1" applyFill="1" applyBorder="1" applyAlignment="1" applyProtection="1">
      <alignment horizontal="right"/>
      <protection hidden="1"/>
    </xf>
    <xf numFmtId="169" fontId="35" fillId="2" borderId="0" xfId="2" applyNumberFormat="1" applyFont="1" applyFill="1" applyBorder="1" applyAlignment="1" applyProtection="1">
      <alignment horizontal="right"/>
      <protection hidden="1"/>
    </xf>
    <xf numFmtId="169" fontId="35" fillId="2" borderId="21" xfId="2" applyNumberFormat="1" applyFont="1" applyFill="1" applyBorder="1" applyAlignment="1" applyProtection="1">
      <alignment horizontal="right"/>
      <protection hidden="1"/>
    </xf>
    <xf numFmtId="0" fontId="22" fillId="11" borderId="52" xfId="1" applyFont="1" applyFill="1" applyBorder="1" applyAlignment="1" applyProtection="1">
      <alignment horizontal="left" vertical="center"/>
      <protection hidden="1"/>
    </xf>
    <xf numFmtId="0" fontId="22" fillId="11" borderId="14" xfId="1" applyFont="1" applyFill="1" applyBorder="1" applyAlignment="1" applyProtection="1">
      <alignment horizontal="left" vertical="center"/>
      <protection hidden="1"/>
    </xf>
    <xf numFmtId="0" fontId="31" fillId="2" borderId="20" xfId="1" applyFont="1" applyFill="1" applyBorder="1" applyAlignment="1" applyProtection="1">
      <alignment horizontal="left"/>
      <protection hidden="1"/>
    </xf>
    <xf numFmtId="0" fontId="31" fillId="3" borderId="20" xfId="1" applyFont="1" applyFill="1" applyBorder="1" applyAlignment="1" applyProtection="1">
      <alignment horizontal="left"/>
      <protection hidden="1"/>
    </xf>
    <xf numFmtId="169" fontId="35" fillId="2" borderId="55" xfId="2" applyNumberFormat="1" applyFont="1" applyFill="1" applyBorder="1" applyAlignment="1" applyProtection="1">
      <alignment horizontal="right"/>
      <protection hidden="1"/>
    </xf>
    <xf numFmtId="169" fontId="35" fillId="2" borderId="56" xfId="2" applyNumberFormat="1" applyFont="1" applyFill="1" applyBorder="1" applyAlignment="1" applyProtection="1">
      <alignment horizontal="right"/>
      <protection hidden="1"/>
    </xf>
    <xf numFmtId="169" fontId="35" fillId="2" borderId="57" xfId="2" applyNumberFormat="1" applyFont="1" applyFill="1" applyBorder="1" applyAlignment="1" applyProtection="1">
      <alignment horizontal="right"/>
      <protection hidden="1"/>
    </xf>
    <xf numFmtId="0" fontId="61" fillId="3" borderId="0" xfId="1" applyFont="1" applyFill="1" applyAlignment="1" applyProtection="1">
      <alignment horizontal="left"/>
      <protection hidden="1"/>
    </xf>
    <xf numFmtId="0" fontId="57" fillId="3" borderId="0" xfId="1" applyFont="1" applyFill="1" applyAlignment="1" applyProtection="1">
      <alignment horizontal="left" vertical="center"/>
      <protection hidden="1"/>
    </xf>
    <xf numFmtId="0" fontId="61" fillId="0" borderId="0" xfId="1" applyFont="1" applyAlignment="1" applyProtection="1">
      <alignment horizontal="left"/>
      <protection hidden="1"/>
    </xf>
    <xf numFmtId="0" fontId="57" fillId="3" borderId="0" xfId="1" applyFont="1" applyFill="1" applyAlignment="1" applyProtection="1">
      <alignment horizontal="left"/>
      <protection hidden="1"/>
    </xf>
    <xf numFmtId="0" fontId="31" fillId="3" borderId="20" xfId="1" applyFont="1" applyFill="1" applyBorder="1" applyProtection="1">
      <protection hidden="1"/>
    </xf>
    <xf numFmtId="175" fontId="19" fillId="13" borderId="0" xfId="26" applyNumberFormat="1" applyFont="1" applyFill="1" applyBorder="1"/>
    <xf numFmtId="167" fontId="31" fillId="2" borderId="0" xfId="1" applyNumberFormat="1" applyFont="1" applyFill="1" applyAlignment="1" applyProtection="1">
      <alignment horizontal="left"/>
      <protection hidden="1"/>
    </xf>
    <xf numFmtId="0" fontId="26" fillId="0" borderId="0" xfId="1" applyFont="1"/>
    <xf numFmtId="0" fontId="28" fillId="2" borderId="21" xfId="1" applyFont="1" applyFill="1" applyBorder="1" applyAlignment="1" applyProtection="1">
      <alignment horizontal="right"/>
      <protection hidden="1"/>
    </xf>
    <xf numFmtId="0" fontId="28" fillId="2" borderId="20" xfId="1" applyFont="1" applyFill="1" applyBorder="1" applyAlignment="1" applyProtection="1">
      <alignment horizontal="right"/>
      <protection hidden="1"/>
    </xf>
    <xf numFmtId="0" fontId="23" fillId="2" borderId="17" xfId="1" applyFont="1" applyFill="1" applyBorder="1" applyAlignment="1" applyProtection="1">
      <alignment horizontal="left"/>
      <protection hidden="1"/>
    </xf>
    <xf numFmtId="0" fontId="23" fillId="2" borderId="59" xfId="1" applyFont="1" applyFill="1" applyBorder="1" applyAlignment="1" applyProtection="1">
      <alignment horizontal="left"/>
      <protection hidden="1"/>
    </xf>
    <xf numFmtId="0" fontId="23" fillId="2" borderId="18" xfId="1" applyFont="1" applyFill="1" applyBorder="1" applyAlignment="1" applyProtection="1">
      <alignment horizontal="right"/>
      <protection hidden="1"/>
    </xf>
    <xf numFmtId="0" fontId="23" fillId="2" borderId="19" xfId="1" applyFont="1" applyFill="1" applyBorder="1" applyAlignment="1" applyProtection="1">
      <alignment horizontal="right"/>
      <protection hidden="1"/>
    </xf>
    <xf numFmtId="0" fontId="57" fillId="2" borderId="11" xfId="1" applyFont="1" applyFill="1" applyBorder="1" applyAlignment="1" applyProtection="1">
      <alignment horizontal="left"/>
      <protection hidden="1"/>
    </xf>
    <xf numFmtId="0" fontId="28" fillId="2" borderId="20" xfId="1" applyFont="1" applyFill="1" applyBorder="1" applyAlignment="1" applyProtection="1">
      <alignment horizontal="left" indent="1"/>
      <protection hidden="1"/>
    </xf>
    <xf numFmtId="0" fontId="28" fillId="2" borderId="11" xfId="1" applyFont="1" applyFill="1" applyBorder="1" applyAlignment="1" applyProtection="1">
      <alignment horizontal="left" indent="1"/>
      <protection hidden="1"/>
    </xf>
    <xf numFmtId="0" fontId="24" fillId="2" borderId="55" xfId="1" applyFont="1" applyFill="1" applyBorder="1" applyAlignment="1" applyProtection="1">
      <alignment horizontal="left"/>
      <protection hidden="1"/>
    </xf>
    <xf numFmtId="0" fontId="31" fillId="3" borderId="60" xfId="1" applyFont="1" applyFill="1" applyBorder="1" applyProtection="1">
      <protection hidden="1"/>
    </xf>
    <xf numFmtId="0" fontId="31" fillId="2" borderId="22" xfId="1" applyFont="1" applyFill="1" applyBorder="1" applyAlignment="1" applyProtection="1">
      <alignment horizontal="left"/>
      <protection hidden="1"/>
    </xf>
    <xf numFmtId="0" fontId="31" fillId="3" borderId="22" xfId="1" applyFont="1" applyFill="1" applyBorder="1" applyProtection="1">
      <protection hidden="1"/>
    </xf>
    <xf numFmtId="0" fontId="28" fillId="2" borderId="49" xfId="1" applyFont="1" applyFill="1" applyBorder="1" applyAlignment="1" applyProtection="1">
      <alignment horizontal="left"/>
      <protection hidden="1"/>
    </xf>
    <xf numFmtId="0" fontId="28" fillId="2" borderId="49" xfId="1" applyFont="1" applyFill="1" applyBorder="1" applyAlignment="1" applyProtection="1">
      <alignment horizontal="right"/>
      <protection hidden="1"/>
    </xf>
    <xf numFmtId="0" fontId="31" fillId="2" borderId="20" xfId="1" applyFont="1" applyFill="1" applyBorder="1" applyAlignment="1" applyProtection="1">
      <alignment horizontal="left" indent="1"/>
      <protection hidden="1"/>
    </xf>
    <xf numFmtId="0" fontId="31" fillId="2" borderId="11" xfId="1" applyFont="1" applyFill="1" applyBorder="1" applyAlignment="1" applyProtection="1">
      <alignment horizontal="left" indent="1"/>
      <protection hidden="1"/>
    </xf>
    <xf numFmtId="167" fontId="35" fillId="2" borderId="0" xfId="2" applyNumberFormat="1" applyFont="1" applyFill="1" applyBorder="1" applyAlignment="1" applyProtection="1">
      <alignment horizontal="right"/>
      <protection hidden="1"/>
    </xf>
    <xf numFmtId="167" fontId="31" fillId="2" borderId="0" xfId="1" applyNumberFormat="1" applyFont="1" applyFill="1" applyAlignment="1" applyProtection="1">
      <alignment horizontal="right"/>
      <protection hidden="1"/>
    </xf>
    <xf numFmtId="0" fontId="28" fillId="2" borderId="11" xfId="1" applyFont="1" applyFill="1" applyBorder="1" applyAlignment="1" applyProtection="1">
      <alignment horizontal="left"/>
      <protection hidden="1"/>
    </xf>
    <xf numFmtId="0" fontId="57" fillId="0" borderId="0" xfId="1" applyFont="1" applyAlignment="1" applyProtection="1">
      <alignment horizontal="left"/>
      <protection hidden="1"/>
    </xf>
    <xf numFmtId="0" fontId="57" fillId="2" borderId="61" xfId="1" applyFont="1" applyFill="1" applyBorder="1" applyAlignment="1" applyProtection="1">
      <alignment horizontal="left"/>
      <protection hidden="1"/>
    </xf>
    <xf numFmtId="0" fontId="28" fillId="3" borderId="20" xfId="1" applyFont="1" applyFill="1" applyBorder="1" applyAlignment="1" applyProtection="1">
      <alignment horizontal="left" indent="1"/>
      <protection hidden="1"/>
    </xf>
    <xf numFmtId="176" fontId="28" fillId="3" borderId="0" xfId="1" applyNumberFormat="1" applyFont="1" applyFill="1" applyAlignment="1" applyProtection="1">
      <alignment horizontal="right"/>
      <protection hidden="1"/>
    </xf>
    <xf numFmtId="176" fontId="28" fillId="2" borderId="21" xfId="1" applyNumberFormat="1" applyFont="1" applyFill="1" applyBorder="1" applyAlignment="1" applyProtection="1">
      <alignment horizontal="right"/>
      <protection hidden="1"/>
    </xf>
    <xf numFmtId="176" fontId="31" fillId="3" borderId="0" xfId="1" applyNumberFormat="1" applyFont="1" applyFill="1" applyAlignment="1" applyProtection="1">
      <alignment horizontal="right"/>
      <protection hidden="1"/>
    </xf>
    <xf numFmtId="176" fontId="31" fillId="2" borderId="0" xfId="1" applyNumberFormat="1" applyFont="1" applyFill="1" applyAlignment="1" applyProtection="1">
      <alignment horizontal="right"/>
      <protection hidden="1"/>
    </xf>
    <xf numFmtId="176" fontId="31" fillId="2" borderId="21" xfId="1" applyNumberFormat="1" applyFont="1" applyFill="1" applyBorder="1" applyAlignment="1" applyProtection="1">
      <alignment horizontal="right"/>
      <protection hidden="1"/>
    </xf>
    <xf numFmtId="176" fontId="28" fillId="2" borderId="62" xfId="1" applyNumberFormat="1" applyFont="1" applyFill="1" applyBorder="1" applyAlignment="1" applyProtection="1">
      <alignment horizontal="right"/>
      <protection hidden="1"/>
    </xf>
    <xf numFmtId="176" fontId="28" fillId="2" borderId="63" xfId="1" applyNumberFormat="1" applyFont="1" applyFill="1" applyBorder="1" applyAlignment="1" applyProtection="1">
      <alignment horizontal="right"/>
      <protection hidden="1"/>
    </xf>
    <xf numFmtId="176" fontId="31" fillId="2" borderId="23" xfId="1" applyNumberFormat="1" applyFont="1" applyFill="1" applyBorder="1" applyAlignment="1" applyProtection="1">
      <alignment horizontal="right"/>
      <protection hidden="1"/>
    </xf>
    <xf numFmtId="176" fontId="31" fillId="2" borderId="24" xfId="1" applyNumberFormat="1" applyFont="1" applyFill="1" applyBorder="1" applyAlignment="1" applyProtection="1">
      <alignment horizontal="right"/>
      <protection hidden="1"/>
    </xf>
    <xf numFmtId="0" fontId="67" fillId="13" borderId="0" xfId="26" applyNumberFormat="1" applyFont="1" applyFill="1"/>
    <xf numFmtId="0" fontId="19" fillId="13" borderId="0" xfId="26" applyNumberFormat="1" applyFont="1" applyFill="1"/>
    <xf numFmtId="0" fontId="61" fillId="4" borderId="0" xfId="1" applyFont="1" applyFill="1" applyAlignment="1" applyProtection="1">
      <alignment horizontal="right"/>
      <protection hidden="1"/>
    </xf>
    <xf numFmtId="0" fontId="57" fillId="4" borderId="0" xfId="1" applyFont="1" applyFill="1" applyAlignment="1" applyProtection="1">
      <alignment horizontal="right"/>
      <protection hidden="1"/>
    </xf>
    <xf numFmtId="176" fontId="34" fillId="2" borderId="0" xfId="2" applyNumberFormat="1" applyFont="1" applyFill="1" applyBorder="1" applyAlignment="1" applyProtection="1">
      <alignment horizontal="right"/>
      <protection hidden="1"/>
    </xf>
    <xf numFmtId="176" fontId="34" fillId="2" borderId="21" xfId="2" applyNumberFormat="1" applyFont="1" applyFill="1" applyBorder="1" applyAlignment="1" applyProtection="1">
      <alignment horizontal="right"/>
      <protection hidden="1"/>
    </xf>
    <xf numFmtId="176" fontId="28" fillId="2" borderId="56" xfId="1" applyNumberFormat="1" applyFont="1" applyFill="1" applyBorder="1" applyAlignment="1" applyProtection="1">
      <alignment horizontal="right"/>
      <protection hidden="1"/>
    </xf>
    <xf numFmtId="0" fontId="31" fillId="2" borderId="20" xfId="1" applyFont="1" applyFill="1" applyBorder="1" applyProtection="1">
      <protection hidden="1"/>
    </xf>
    <xf numFmtId="0" fontId="35" fillId="2" borderId="20" xfId="1" applyFont="1" applyFill="1" applyBorder="1" applyAlignment="1" applyProtection="1">
      <alignment horizontal="left" indent="2"/>
      <protection hidden="1"/>
    </xf>
    <xf numFmtId="0" fontId="35" fillId="3" borderId="20" xfId="1" applyFont="1" applyFill="1" applyBorder="1" applyAlignment="1" applyProtection="1">
      <alignment horizontal="left" indent="2"/>
      <protection hidden="1"/>
    </xf>
    <xf numFmtId="0" fontId="35" fillId="2" borderId="58" xfId="1" applyFont="1" applyFill="1" applyBorder="1" applyAlignment="1" applyProtection="1">
      <alignment horizontal="left" indent="1"/>
      <protection hidden="1"/>
    </xf>
    <xf numFmtId="176" fontId="31" fillId="2" borderId="26" xfId="1" applyNumberFormat="1" applyFont="1" applyFill="1" applyBorder="1" applyAlignment="1" applyProtection="1">
      <alignment horizontal="right"/>
      <protection hidden="1"/>
    </xf>
    <xf numFmtId="176" fontId="31" fillId="2" borderId="27" xfId="1" applyNumberFormat="1" applyFont="1" applyFill="1" applyBorder="1" applyAlignment="1" applyProtection="1">
      <alignment horizontal="right"/>
      <protection hidden="1"/>
    </xf>
    <xf numFmtId="0" fontId="23" fillId="2" borderId="25" xfId="1" applyFont="1" applyFill="1" applyBorder="1" applyAlignment="1" applyProtection="1">
      <alignment horizontal="left"/>
      <protection hidden="1"/>
    </xf>
    <xf numFmtId="0" fontId="23" fillId="0" borderId="32" xfId="1" applyFont="1" applyBorder="1" applyProtection="1">
      <protection hidden="1"/>
    </xf>
    <xf numFmtId="176" fontId="23" fillId="3" borderId="26" xfId="1" applyNumberFormat="1" applyFont="1" applyFill="1" applyBorder="1" applyAlignment="1" applyProtection="1">
      <alignment horizontal="right"/>
      <protection hidden="1"/>
    </xf>
    <xf numFmtId="176" fontId="23" fillId="2" borderId="26" xfId="1" applyNumberFormat="1" applyFont="1" applyFill="1" applyBorder="1" applyAlignment="1" applyProtection="1">
      <alignment horizontal="right"/>
      <protection hidden="1"/>
    </xf>
    <xf numFmtId="176" fontId="23" fillId="2" borderId="27" xfId="1" applyNumberFormat="1" applyFont="1" applyFill="1" applyBorder="1" applyAlignment="1" applyProtection="1">
      <alignment horizontal="right"/>
      <protection hidden="1"/>
    </xf>
    <xf numFmtId="0" fontId="57" fillId="2" borderId="25" xfId="1" applyFont="1" applyFill="1" applyBorder="1" applyAlignment="1" applyProtection="1">
      <alignment horizontal="left"/>
      <protection hidden="1"/>
    </xf>
    <xf numFmtId="176" fontId="31" fillId="3" borderId="56" xfId="1" applyNumberFormat="1" applyFont="1" applyFill="1" applyBorder="1" applyAlignment="1" applyProtection="1">
      <alignment horizontal="right"/>
      <protection hidden="1"/>
    </xf>
    <xf numFmtId="176" fontId="31" fillId="2" borderId="56" xfId="1" applyNumberFormat="1" applyFont="1" applyFill="1" applyBorder="1" applyAlignment="1" applyProtection="1">
      <alignment horizontal="right"/>
      <protection hidden="1"/>
    </xf>
    <xf numFmtId="176" fontId="31" fillId="2" borderId="57" xfId="1" applyNumberFormat="1" applyFont="1" applyFill="1" applyBorder="1" applyAlignment="1" applyProtection="1">
      <alignment horizontal="right"/>
      <protection hidden="1"/>
    </xf>
    <xf numFmtId="0" fontId="23" fillId="2" borderId="64" xfId="1" applyFont="1" applyFill="1" applyBorder="1" applyAlignment="1" applyProtection="1">
      <alignment horizontal="left"/>
      <protection hidden="1"/>
    </xf>
    <xf numFmtId="0" fontId="23" fillId="2" borderId="32" xfId="1" applyFont="1" applyFill="1" applyBorder="1" applyProtection="1">
      <protection hidden="1"/>
    </xf>
    <xf numFmtId="0" fontId="28" fillId="2" borderId="55" xfId="1" applyFont="1" applyFill="1" applyBorder="1" applyAlignment="1" applyProtection="1">
      <alignment horizontal="left"/>
      <protection hidden="1"/>
    </xf>
    <xf numFmtId="0" fontId="28" fillId="3" borderId="55" xfId="1" applyFont="1" applyFill="1" applyBorder="1" applyProtection="1">
      <protection hidden="1"/>
    </xf>
    <xf numFmtId="176" fontId="28" fillId="2" borderId="57" xfId="1" applyNumberFormat="1" applyFont="1" applyFill="1" applyBorder="1" applyAlignment="1" applyProtection="1">
      <alignment horizontal="right"/>
      <protection hidden="1"/>
    </xf>
    <xf numFmtId="0" fontId="28" fillId="3" borderId="55" xfId="1" applyFont="1" applyFill="1" applyBorder="1" applyAlignment="1" applyProtection="1">
      <alignment horizontal="left"/>
      <protection hidden="1"/>
    </xf>
    <xf numFmtId="0" fontId="35" fillId="2" borderId="55" xfId="1" applyFont="1" applyFill="1" applyBorder="1" applyAlignment="1" applyProtection="1">
      <alignment horizontal="left" indent="1"/>
      <protection hidden="1"/>
    </xf>
    <xf numFmtId="0" fontId="35" fillId="3" borderId="55" xfId="1" applyFont="1" applyFill="1" applyBorder="1" applyAlignment="1" applyProtection="1">
      <alignment horizontal="left" indent="1"/>
      <protection hidden="1"/>
    </xf>
    <xf numFmtId="0" fontId="31" fillId="2" borderId="55" xfId="1" applyFont="1" applyFill="1" applyBorder="1" applyAlignment="1" applyProtection="1">
      <alignment horizontal="left"/>
      <protection hidden="1"/>
    </xf>
    <xf numFmtId="0" fontId="31" fillId="2" borderId="55" xfId="1" applyFont="1" applyFill="1" applyBorder="1" applyProtection="1">
      <protection hidden="1"/>
    </xf>
    <xf numFmtId="0" fontId="34" fillId="2" borderId="55" xfId="1" applyFont="1" applyFill="1" applyBorder="1" applyAlignment="1" applyProtection="1">
      <alignment horizontal="left" indent="2"/>
      <protection hidden="1"/>
    </xf>
    <xf numFmtId="0" fontId="34" fillId="3" borderId="55" xfId="1" applyFont="1" applyFill="1" applyBorder="1" applyAlignment="1" applyProtection="1">
      <alignment horizontal="left" indent="2"/>
      <protection hidden="1"/>
    </xf>
    <xf numFmtId="176" fontId="31" fillId="2" borderId="56" xfId="2" applyNumberFormat="1" applyFont="1" applyFill="1" applyBorder="1" applyAlignment="1" applyProtection="1">
      <alignment horizontal="right"/>
      <protection hidden="1"/>
    </xf>
    <xf numFmtId="176" fontId="31" fillId="2" borderId="57" xfId="2" applyNumberFormat="1" applyFont="1" applyFill="1" applyBorder="1" applyAlignment="1" applyProtection="1">
      <alignment horizontal="right"/>
      <protection hidden="1"/>
    </xf>
    <xf numFmtId="0" fontId="28" fillId="2" borderId="55" xfId="1" applyFont="1" applyFill="1" applyBorder="1" applyAlignment="1" applyProtection="1">
      <alignment horizontal="left" indent="1"/>
      <protection hidden="1"/>
    </xf>
    <xf numFmtId="0" fontId="28" fillId="2" borderId="65" xfId="1" applyFont="1" applyFill="1" applyBorder="1" applyAlignment="1" applyProtection="1">
      <alignment horizontal="left" indent="1"/>
      <protection hidden="1"/>
    </xf>
    <xf numFmtId="176" fontId="28" fillId="3" borderId="56" xfId="1" applyNumberFormat="1" applyFont="1" applyFill="1" applyBorder="1" applyAlignment="1" applyProtection="1">
      <alignment horizontal="right"/>
      <protection hidden="1"/>
    </xf>
    <xf numFmtId="0" fontId="28" fillId="2" borderId="65" xfId="1" applyFont="1" applyFill="1" applyBorder="1" applyAlignment="1" applyProtection="1">
      <alignment horizontal="left"/>
      <protection hidden="1"/>
    </xf>
    <xf numFmtId="0" fontId="28" fillId="3" borderId="55" xfId="1" applyFont="1" applyFill="1" applyBorder="1" applyAlignment="1" applyProtection="1">
      <alignment horizontal="left" indent="1"/>
      <protection hidden="1"/>
    </xf>
    <xf numFmtId="0" fontId="28" fillId="3" borderId="60" xfId="1" applyFont="1" applyFill="1" applyBorder="1" applyAlignment="1" applyProtection="1">
      <alignment horizontal="left" indent="1"/>
      <protection hidden="1"/>
    </xf>
    <xf numFmtId="169" fontId="31" fillId="2" borderId="55" xfId="2" applyNumberFormat="1" applyFont="1" applyFill="1" applyBorder="1" applyAlignment="1" applyProtection="1">
      <alignment horizontal="right"/>
      <protection hidden="1"/>
    </xf>
    <xf numFmtId="169" fontId="31" fillId="2" borderId="56" xfId="2" applyNumberFormat="1" applyFont="1" applyFill="1" applyBorder="1" applyAlignment="1" applyProtection="1">
      <alignment horizontal="right"/>
      <protection hidden="1"/>
    </xf>
    <xf numFmtId="169" fontId="31" fillId="2" borderId="57" xfId="2" applyNumberFormat="1" applyFont="1" applyFill="1" applyBorder="1" applyAlignment="1" applyProtection="1">
      <alignment horizontal="right"/>
      <protection hidden="1"/>
    </xf>
    <xf numFmtId="169" fontId="35" fillId="2" borderId="25" xfId="2" applyNumberFormat="1" applyFont="1" applyFill="1" applyBorder="1" applyAlignment="1" applyProtection="1">
      <alignment horizontal="right"/>
      <protection hidden="1"/>
    </xf>
    <xf numFmtId="169" fontId="35" fillId="2" borderId="26" xfId="2" applyNumberFormat="1" applyFont="1" applyFill="1" applyBorder="1" applyAlignment="1" applyProtection="1">
      <alignment horizontal="right"/>
      <protection hidden="1"/>
    </xf>
    <xf numFmtId="169" fontId="35" fillId="2" borderId="27" xfId="2" applyNumberFormat="1" applyFont="1" applyFill="1" applyBorder="1" applyAlignment="1" applyProtection="1">
      <alignment horizontal="right"/>
      <protection hidden="1"/>
    </xf>
    <xf numFmtId="166" fontId="22" fillId="11" borderId="14" xfId="17" applyNumberFormat="1" applyFont="1" applyFill="1" applyBorder="1" applyAlignment="1" applyProtection="1">
      <alignment horizontal="left" vertical="center"/>
      <protection hidden="1"/>
    </xf>
    <xf numFmtId="166" fontId="22" fillId="11" borderId="15" xfId="17" applyNumberFormat="1" applyFont="1" applyFill="1" applyBorder="1" applyAlignment="1" applyProtection="1">
      <alignment horizontal="left" vertical="center"/>
      <protection hidden="1"/>
    </xf>
    <xf numFmtId="166" fontId="22" fillId="11" borderId="16" xfId="17" applyNumberFormat="1" applyFont="1" applyFill="1" applyBorder="1" applyAlignment="1" applyProtection="1">
      <alignment horizontal="left" vertical="center"/>
      <protection hidden="1"/>
    </xf>
    <xf numFmtId="0" fontId="19" fillId="3" borderId="20" xfId="0" applyFont="1" applyFill="1" applyBorder="1" applyAlignment="1">
      <alignment horizontal="left"/>
    </xf>
    <xf numFmtId="0" fontId="23" fillId="2" borderId="66" xfId="1" applyFont="1" applyFill="1" applyBorder="1" applyAlignment="1" applyProtection="1">
      <alignment horizontal="left"/>
      <protection hidden="1"/>
    </xf>
    <xf numFmtId="0" fontId="19" fillId="3" borderId="25" xfId="0" applyFont="1" applyFill="1" applyBorder="1" applyAlignment="1">
      <alignment horizontal="left"/>
    </xf>
    <xf numFmtId="0" fontId="19" fillId="3" borderId="64" xfId="0" applyFont="1" applyFill="1" applyBorder="1" applyAlignment="1">
      <alignment horizontal="left"/>
    </xf>
    <xf numFmtId="176" fontId="28" fillId="2" borderId="26" xfId="1" applyNumberFormat="1" applyFont="1" applyFill="1" applyBorder="1" applyAlignment="1" applyProtection="1">
      <alignment horizontal="right"/>
      <protection hidden="1"/>
    </xf>
    <xf numFmtId="176" fontId="28" fillId="2" borderId="27" xfId="1" applyNumberFormat="1" applyFont="1" applyFill="1" applyBorder="1" applyAlignment="1" applyProtection="1">
      <alignment horizontal="right"/>
      <protection hidden="1"/>
    </xf>
    <xf numFmtId="176" fontId="28" fillId="3" borderId="0" xfId="1" applyNumberFormat="1" applyFont="1" applyFill="1" applyProtection="1">
      <protection hidden="1"/>
    </xf>
    <xf numFmtId="176" fontId="28" fillId="3" borderId="21" xfId="1" applyNumberFormat="1" applyFont="1" applyFill="1" applyBorder="1" applyProtection="1">
      <protection hidden="1"/>
    </xf>
    <xf numFmtId="4" fontId="57" fillId="2" borderId="20" xfId="0" applyNumberFormat="1" applyFont="1" applyFill="1" applyBorder="1" applyAlignment="1">
      <alignment horizontal="left" vertical="center"/>
    </xf>
    <xf numFmtId="4" fontId="28" fillId="2" borderId="20" xfId="0" applyNumberFormat="1" applyFont="1" applyFill="1" applyBorder="1" applyAlignment="1">
      <alignment horizontal="left" vertical="center"/>
    </xf>
    <xf numFmtId="4" fontId="29" fillId="2" borderId="20" xfId="0" applyNumberFormat="1" applyFont="1" applyFill="1" applyBorder="1" applyAlignment="1">
      <alignment horizontal="left" vertical="center"/>
    </xf>
    <xf numFmtId="4" fontId="31" fillId="2" borderId="20" xfId="0" applyNumberFormat="1" applyFont="1" applyFill="1" applyBorder="1" applyAlignment="1">
      <alignment horizontal="left" vertical="center"/>
    </xf>
    <xf numFmtId="176" fontId="31" fillId="3" borderId="0" xfId="1" applyNumberFormat="1" applyFont="1" applyFill="1" applyProtection="1">
      <protection hidden="1"/>
    </xf>
    <xf numFmtId="176" fontId="31" fillId="3" borderId="21" xfId="1" applyNumberFormat="1" applyFont="1" applyFill="1" applyBorder="1" applyProtection="1">
      <protection hidden="1"/>
    </xf>
    <xf numFmtId="4" fontId="28" fillId="2" borderId="55" xfId="0" applyNumberFormat="1" applyFont="1" applyFill="1" applyBorder="1" applyAlignment="1">
      <alignment horizontal="left" vertical="center"/>
    </xf>
    <xf numFmtId="4" fontId="28" fillId="2" borderId="65" xfId="0" applyNumberFormat="1" applyFont="1" applyFill="1" applyBorder="1" applyAlignment="1">
      <alignment horizontal="left" vertical="center"/>
    </xf>
    <xf numFmtId="176" fontId="28" fillId="3" borderId="56" xfId="1" applyNumberFormat="1" applyFont="1" applyFill="1" applyBorder="1" applyProtection="1">
      <protection hidden="1"/>
    </xf>
    <xf numFmtId="176" fontId="28" fillId="3" borderId="57" xfId="1" applyNumberFormat="1" applyFont="1" applyFill="1" applyBorder="1" applyProtection="1">
      <protection hidden="1"/>
    </xf>
    <xf numFmtId="4" fontId="57" fillId="2" borderId="25" xfId="0" applyNumberFormat="1" applyFont="1" applyFill="1" applyBorder="1" applyAlignment="1">
      <alignment horizontal="left" vertical="center"/>
    </xf>
    <xf numFmtId="4" fontId="57" fillId="2" borderId="64" xfId="0" applyNumberFormat="1" applyFont="1" applyFill="1" applyBorder="1" applyAlignment="1">
      <alignment horizontal="left" vertical="center"/>
    </xf>
    <xf numFmtId="176" fontId="31" fillId="3" borderId="26" xfId="1" applyNumberFormat="1" applyFont="1" applyFill="1" applyBorder="1" applyProtection="1">
      <protection hidden="1"/>
    </xf>
    <xf numFmtId="176" fontId="31" fillId="3" borderId="27" xfId="1" applyNumberFormat="1" applyFont="1" applyFill="1" applyBorder="1" applyProtection="1">
      <protection hidden="1"/>
    </xf>
    <xf numFmtId="4" fontId="29" fillId="2" borderId="11" xfId="0" applyNumberFormat="1" applyFont="1" applyFill="1" applyBorder="1" applyAlignment="1">
      <alignment horizontal="left" vertical="center"/>
    </xf>
    <xf numFmtId="4" fontId="31" fillId="2" borderId="55" xfId="0" applyNumberFormat="1" applyFont="1" applyFill="1" applyBorder="1" applyAlignment="1">
      <alignment horizontal="left" vertical="center"/>
    </xf>
    <xf numFmtId="4" fontId="31" fillId="2" borderId="65" xfId="0" applyNumberFormat="1" applyFont="1" applyFill="1" applyBorder="1" applyAlignment="1">
      <alignment horizontal="left" vertical="center"/>
    </xf>
    <xf numFmtId="176" fontId="31" fillId="3" borderId="56" xfId="1" applyNumberFormat="1" applyFont="1" applyFill="1" applyBorder="1" applyProtection="1">
      <protection hidden="1"/>
    </xf>
    <xf numFmtId="176" fontId="31" fillId="3" borderId="57" xfId="1" applyNumberFormat="1" applyFont="1" applyFill="1" applyBorder="1" applyProtection="1">
      <protection hidden="1"/>
    </xf>
    <xf numFmtId="4" fontId="23" fillId="2" borderId="55" xfId="0" applyNumberFormat="1" applyFont="1" applyFill="1" applyBorder="1" applyAlignment="1">
      <alignment horizontal="left"/>
    </xf>
    <xf numFmtId="4" fontId="23" fillId="2" borderId="65" xfId="0" applyNumberFormat="1" applyFont="1" applyFill="1" applyBorder="1" applyAlignment="1">
      <alignment horizontal="left"/>
    </xf>
    <xf numFmtId="0" fontId="22" fillId="11" borderId="17" xfId="17" applyFont="1" applyFill="1" applyBorder="1" applyAlignment="1" applyProtection="1">
      <alignment horizontal="left" vertical="center"/>
      <protection hidden="1"/>
    </xf>
    <xf numFmtId="0" fontId="22" fillId="11" borderId="18" xfId="17" applyFont="1" applyFill="1" applyBorder="1" applyAlignment="1" applyProtection="1">
      <alignment horizontal="left" vertical="center"/>
      <protection hidden="1"/>
    </xf>
    <xf numFmtId="0" fontId="22" fillId="11" borderId="19" xfId="17" applyFont="1" applyFill="1" applyBorder="1" applyAlignment="1" applyProtection="1">
      <alignment horizontal="left" vertical="center"/>
      <protection hidden="1"/>
    </xf>
    <xf numFmtId="166" fontId="28" fillId="3" borderId="0" xfId="17" applyNumberFormat="1" applyFont="1" applyFill="1" applyProtection="1">
      <protection hidden="1"/>
    </xf>
    <xf numFmtId="0" fontId="18" fillId="0" borderId="0" xfId="0" applyFont="1"/>
    <xf numFmtId="0" fontId="28" fillId="0" borderId="0" xfId="1" applyFont="1" applyAlignment="1" applyProtection="1">
      <alignment horizontal="left"/>
      <protection hidden="1"/>
    </xf>
    <xf numFmtId="0" fontId="28" fillId="0" borderId="0" xfId="1" applyFont="1" applyAlignment="1" applyProtection="1">
      <alignment horizontal="right"/>
      <protection hidden="1"/>
    </xf>
    <xf numFmtId="0" fontId="31" fillId="0" borderId="0" xfId="1" applyFont="1" applyAlignment="1" applyProtection="1">
      <alignment horizontal="right"/>
      <protection hidden="1"/>
    </xf>
    <xf numFmtId="0" fontId="60" fillId="0" borderId="20" xfId="24" applyFont="1" applyBorder="1" applyAlignment="1">
      <alignment horizontal="left" vertical="center"/>
    </xf>
    <xf numFmtId="0" fontId="60" fillId="0" borderId="0" xfId="17" applyFont="1" applyAlignment="1" applyProtection="1">
      <alignment horizontal="left" vertical="center"/>
      <protection hidden="1"/>
    </xf>
    <xf numFmtId="0" fontId="60" fillId="0" borderId="0" xfId="24" applyFont="1" applyAlignment="1">
      <alignment horizontal="left" vertical="center"/>
    </xf>
    <xf numFmtId="0" fontId="68" fillId="0" borderId="20" xfId="24" applyFont="1" applyBorder="1" applyAlignment="1">
      <alignment horizontal="right" vertical="center"/>
    </xf>
    <xf numFmtId="0" fontId="68" fillId="0" borderId="0" xfId="24" applyFont="1" applyAlignment="1">
      <alignment horizontal="right" vertical="center"/>
    </xf>
    <xf numFmtId="0" fontId="68" fillId="0" borderId="0" xfId="17" applyFont="1" applyAlignment="1" applyProtection="1">
      <alignment horizontal="right" vertical="center"/>
      <protection hidden="1"/>
    </xf>
    <xf numFmtId="0" fontId="68" fillId="0" borderId="20" xfId="17" applyFont="1" applyBorder="1" applyAlignment="1" applyProtection="1">
      <alignment horizontal="right" vertical="center"/>
      <protection hidden="1"/>
    </xf>
    <xf numFmtId="0" fontId="28" fillId="9" borderId="67" xfId="17" applyFont="1" applyFill="1" applyBorder="1" applyAlignment="1" applyProtection="1">
      <alignment horizontal="right" vertical="center"/>
      <protection hidden="1"/>
    </xf>
    <xf numFmtId="0" fontId="28" fillId="2" borderId="17" xfId="17" applyFont="1" applyFill="1" applyBorder="1" applyAlignment="1" applyProtection="1">
      <alignment horizontal="left" vertical="center"/>
      <protection hidden="1"/>
    </xf>
    <xf numFmtId="0" fontId="28" fillId="2" borderId="18" xfId="17" applyFont="1" applyFill="1" applyBorder="1" applyAlignment="1" applyProtection="1">
      <alignment horizontal="right" vertical="center"/>
      <protection hidden="1"/>
    </xf>
    <xf numFmtId="0" fontId="28" fillId="2" borderId="19" xfId="24" applyFont="1" applyFill="1" applyBorder="1" applyAlignment="1">
      <alignment horizontal="right" vertical="center"/>
    </xf>
    <xf numFmtId="0" fontId="28" fillId="3" borderId="14" xfId="17" applyFont="1" applyFill="1" applyBorder="1" applyAlignment="1" applyProtection="1">
      <alignment horizontal="left"/>
      <protection hidden="1"/>
    </xf>
    <xf numFmtId="176" fontId="31" fillId="2" borderId="16" xfId="17" applyNumberFormat="1" applyFont="1" applyFill="1" applyBorder="1" applyAlignment="1" applyProtection="1">
      <alignment horizontal="right"/>
      <protection hidden="1"/>
    </xf>
    <xf numFmtId="0" fontId="23" fillId="2" borderId="59" xfId="17" applyFont="1" applyFill="1" applyBorder="1" applyAlignment="1" applyProtection="1">
      <alignment horizontal="left"/>
      <protection hidden="1"/>
    </xf>
    <xf numFmtId="0" fontId="19" fillId="0" borderId="21" xfId="0" applyFont="1" applyBorder="1"/>
    <xf numFmtId="0" fontId="31" fillId="3" borderId="20" xfId="17" applyFont="1" applyFill="1" applyBorder="1" applyAlignment="1" applyProtection="1">
      <alignment horizontal="left"/>
      <protection hidden="1"/>
    </xf>
    <xf numFmtId="0" fontId="31" fillId="3" borderId="17" xfId="17" applyFont="1" applyFill="1" applyBorder="1" applyAlignment="1" applyProtection="1">
      <alignment horizontal="left"/>
      <protection hidden="1"/>
    </xf>
    <xf numFmtId="0" fontId="31" fillId="3" borderId="59" xfId="17" applyFont="1" applyFill="1" applyBorder="1" applyAlignment="1" applyProtection="1">
      <alignment horizontal="left"/>
      <protection hidden="1"/>
    </xf>
    <xf numFmtId="176" fontId="31" fillId="2" borderId="18" xfId="17" applyNumberFormat="1" applyFont="1" applyFill="1" applyBorder="1" applyAlignment="1" applyProtection="1">
      <alignment horizontal="right"/>
      <protection hidden="1"/>
    </xf>
    <xf numFmtId="176" fontId="31" fillId="2" borderId="19" xfId="17" applyNumberFormat="1" applyFont="1" applyFill="1" applyBorder="1" applyAlignment="1" applyProtection="1">
      <alignment horizontal="right"/>
      <protection hidden="1"/>
    </xf>
    <xf numFmtId="0" fontId="28" fillId="3" borderId="55" xfId="17" applyFont="1" applyFill="1" applyBorder="1" applyAlignment="1" applyProtection="1">
      <alignment horizontal="left"/>
      <protection hidden="1"/>
    </xf>
    <xf numFmtId="0" fontId="28" fillId="3" borderId="60" xfId="17" applyFont="1" applyFill="1" applyBorder="1" applyAlignment="1" applyProtection="1">
      <alignment horizontal="left"/>
      <protection hidden="1"/>
    </xf>
    <xf numFmtId="176" fontId="28" fillId="2" borderId="56" xfId="17" applyNumberFormat="1" applyFont="1" applyFill="1" applyBorder="1" applyAlignment="1" applyProtection="1">
      <alignment horizontal="right"/>
      <protection hidden="1"/>
    </xf>
    <xf numFmtId="176" fontId="28" fillId="2" borderId="57" xfId="17" applyNumberFormat="1" applyFont="1" applyFill="1" applyBorder="1" applyAlignment="1" applyProtection="1">
      <alignment horizontal="right"/>
      <protection hidden="1"/>
    </xf>
    <xf numFmtId="0" fontId="31" fillId="3" borderId="14" xfId="17" applyFont="1" applyFill="1" applyBorder="1" applyAlignment="1" applyProtection="1">
      <alignment horizontal="left"/>
      <protection hidden="1"/>
    </xf>
    <xf numFmtId="0" fontId="26" fillId="0" borderId="0" xfId="0" applyFont="1"/>
    <xf numFmtId="0" fontId="57" fillId="2" borderId="20" xfId="17" applyFont="1" applyFill="1" applyBorder="1" applyAlignment="1" applyProtection="1">
      <alignment horizontal="left"/>
      <protection hidden="1"/>
    </xf>
    <xf numFmtId="0" fontId="57" fillId="2" borderId="7" xfId="17" applyFont="1" applyFill="1" applyBorder="1" applyAlignment="1" applyProtection="1">
      <alignment horizontal="left"/>
      <protection hidden="1"/>
    </xf>
    <xf numFmtId="0" fontId="57" fillId="3" borderId="20" xfId="17" applyFont="1" applyFill="1" applyBorder="1" applyAlignment="1" applyProtection="1">
      <alignment horizontal="left"/>
      <protection hidden="1"/>
    </xf>
    <xf numFmtId="0" fontId="57" fillId="3" borderId="7" xfId="17" applyFont="1" applyFill="1" applyBorder="1" applyAlignment="1" applyProtection="1">
      <alignment horizontal="left"/>
      <protection hidden="1"/>
    </xf>
    <xf numFmtId="176" fontId="31" fillId="2" borderId="21" xfId="17" applyNumberFormat="1" applyFont="1" applyFill="1" applyBorder="1" applyAlignment="1" applyProtection="1">
      <alignment horizontal="right"/>
      <protection hidden="1"/>
    </xf>
    <xf numFmtId="166" fontId="22" fillId="11" borderId="18" xfId="17" applyNumberFormat="1" applyFont="1" applyFill="1" applyBorder="1" applyAlignment="1" applyProtection="1">
      <alignment horizontal="left" vertical="center"/>
      <protection hidden="1"/>
    </xf>
    <xf numFmtId="166" fontId="22" fillId="11" borderId="19" xfId="17" applyNumberFormat="1" applyFont="1" applyFill="1" applyBorder="1" applyAlignment="1" applyProtection="1">
      <alignment horizontal="left" vertical="center"/>
      <protection hidden="1"/>
    </xf>
    <xf numFmtId="0" fontId="31" fillId="2" borderId="14" xfId="17" applyFont="1" applyFill="1" applyBorder="1" applyAlignment="1" applyProtection="1">
      <alignment horizontal="left"/>
      <protection hidden="1"/>
    </xf>
    <xf numFmtId="0" fontId="31" fillId="2" borderId="16" xfId="17" applyFont="1" applyFill="1" applyBorder="1" applyAlignment="1" applyProtection="1">
      <alignment horizontal="right"/>
      <protection hidden="1"/>
    </xf>
    <xf numFmtId="0" fontId="34" fillId="3" borderId="20" xfId="17" applyFont="1" applyFill="1" applyBorder="1" applyAlignment="1" applyProtection="1">
      <alignment horizontal="left" indent="1"/>
      <protection hidden="1"/>
    </xf>
    <xf numFmtId="169" fontId="28" fillId="2" borderId="21" xfId="25" applyNumberFormat="1" applyFont="1" applyFill="1" applyBorder="1" applyAlignment="1" applyProtection="1">
      <alignment horizontal="right"/>
      <protection hidden="1"/>
    </xf>
    <xf numFmtId="166" fontId="28" fillId="2" borderId="21" xfId="17" applyNumberFormat="1" applyFont="1" applyFill="1" applyBorder="1" applyAlignment="1" applyProtection="1">
      <alignment horizontal="right"/>
      <protection hidden="1"/>
    </xf>
    <xf numFmtId="0" fontId="31" fillId="3" borderId="22" xfId="17" applyFont="1" applyFill="1" applyBorder="1" applyAlignment="1" applyProtection="1">
      <alignment horizontal="left"/>
      <protection hidden="1"/>
    </xf>
    <xf numFmtId="176" fontId="31" fillId="2" borderId="24" xfId="17" applyNumberFormat="1" applyFont="1" applyFill="1" applyBorder="1" applyAlignment="1" applyProtection="1">
      <alignment horizontal="right"/>
      <protection hidden="1"/>
    </xf>
    <xf numFmtId="0" fontId="28" fillId="3" borderId="55" xfId="17" applyFont="1" applyFill="1" applyBorder="1" applyAlignment="1" applyProtection="1">
      <alignment horizontal="left" indent="1"/>
      <protection hidden="1"/>
    </xf>
    <xf numFmtId="0" fontId="28" fillId="3" borderId="60" xfId="17" applyFont="1" applyFill="1" applyBorder="1" applyAlignment="1" applyProtection="1">
      <alignment horizontal="left" indent="1"/>
      <protection hidden="1"/>
    </xf>
    <xf numFmtId="176" fontId="31" fillId="2" borderId="56" xfId="17" applyNumberFormat="1" applyFont="1" applyFill="1" applyBorder="1" applyAlignment="1" applyProtection="1">
      <alignment horizontal="right"/>
      <protection hidden="1"/>
    </xf>
    <xf numFmtId="176" fontId="31" fillId="2" borderId="57" xfId="17" applyNumberFormat="1" applyFont="1" applyFill="1" applyBorder="1" applyAlignment="1" applyProtection="1">
      <alignment horizontal="right"/>
      <protection hidden="1"/>
    </xf>
    <xf numFmtId="0" fontId="28" fillId="3" borderId="0" xfId="17" applyFont="1" applyFill="1" applyAlignment="1" applyProtection="1">
      <alignment horizontal="right"/>
      <protection hidden="1"/>
    </xf>
    <xf numFmtId="9" fontId="28" fillId="0" borderId="20" xfId="7" applyFont="1" applyFill="1" applyBorder="1" applyAlignment="1" applyProtection="1">
      <alignment horizontal="right"/>
      <protection hidden="1"/>
    </xf>
    <xf numFmtId="9" fontId="28" fillId="0" borderId="0" xfId="7" applyFont="1" applyFill="1" applyBorder="1" applyAlignment="1" applyProtection="1">
      <alignment horizontal="right"/>
      <protection hidden="1"/>
    </xf>
    <xf numFmtId="9" fontId="28" fillId="0" borderId="21" xfId="7" applyFont="1" applyFill="1" applyBorder="1" applyAlignment="1" applyProtection="1">
      <alignment horizontal="right"/>
      <protection hidden="1"/>
    </xf>
    <xf numFmtId="9" fontId="28" fillId="3" borderId="0" xfId="7" applyFont="1" applyFill="1" applyBorder="1" applyAlignment="1" applyProtection="1">
      <alignment horizontal="right"/>
      <protection hidden="1"/>
    </xf>
    <xf numFmtId="9" fontId="31" fillId="3" borderId="14" xfId="7" applyFont="1" applyFill="1" applyBorder="1" applyAlignment="1" applyProtection="1">
      <alignment horizontal="right"/>
      <protection hidden="1"/>
    </xf>
    <xf numFmtId="9" fontId="31" fillId="3" borderId="15" xfId="7" applyFont="1" applyFill="1" applyBorder="1" applyAlignment="1" applyProtection="1">
      <alignment horizontal="right"/>
      <protection hidden="1"/>
    </xf>
    <xf numFmtId="9" fontId="31" fillId="3" borderId="16" xfId="7" applyFont="1" applyFill="1" applyBorder="1" applyAlignment="1" applyProtection="1">
      <alignment horizontal="right"/>
      <protection hidden="1"/>
    </xf>
    <xf numFmtId="9" fontId="31" fillId="3" borderId="0" xfId="7" applyFont="1" applyFill="1" applyBorder="1" applyAlignment="1" applyProtection="1">
      <alignment horizontal="right"/>
      <protection hidden="1"/>
    </xf>
    <xf numFmtId="9" fontId="31" fillId="3" borderId="20" xfId="7" applyFont="1" applyFill="1" applyBorder="1" applyAlignment="1" applyProtection="1">
      <alignment horizontal="right"/>
      <protection hidden="1"/>
    </xf>
    <xf numFmtId="9" fontId="31" fillId="3" borderId="21" xfId="7" applyFont="1" applyFill="1" applyBorder="1" applyAlignment="1" applyProtection="1">
      <alignment horizontal="right"/>
      <protection hidden="1"/>
    </xf>
    <xf numFmtId="9" fontId="28" fillId="0" borderId="20" xfId="7" applyFont="1" applyBorder="1" applyAlignment="1" applyProtection="1">
      <alignment horizontal="right"/>
      <protection hidden="1"/>
    </xf>
    <xf numFmtId="9" fontId="28" fillId="0" borderId="21" xfId="7" applyFont="1" applyBorder="1" applyAlignment="1" applyProtection="1">
      <alignment horizontal="right"/>
      <protection hidden="1"/>
    </xf>
    <xf numFmtId="9" fontId="31" fillId="0" borderId="14" xfId="7" applyFont="1" applyFill="1" applyBorder="1" applyAlignment="1" applyProtection="1">
      <alignment horizontal="right"/>
      <protection hidden="1"/>
    </xf>
    <xf numFmtId="9" fontId="31" fillId="0" borderId="15" xfId="7" applyFont="1" applyFill="1" applyBorder="1" applyAlignment="1" applyProtection="1">
      <alignment horizontal="right"/>
      <protection hidden="1"/>
    </xf>
    <xf numFmtId="9" fontId="31" fillId="0" borderId="16" xfId="7" applyFont="1" applyFill="1" applyBorder="1" applyAlignment="1" applyProtection="1">
      <alignment horizontal="right"/>
      <protection hidden="1"/>
    </xf>
    <xf numFmtId="9" fontId="62" fillId="0" borderId="20" xfId="7" applyFont="1" applyFill="1" applyBorder="1" applyAlignment="1" applyProtection="1">
      <alignment horizontal="right"/>
      <protection hidden="1"/>
    </xf>
    <xf numFmtId="9" fontId="62" fillId="0" borderId="0" xfId="7" applyFont="1" applyFill="1" applyBorder="1" applyAlignment="1" applyProtection="1">
      <alignment horizontal="right"/>
      <protection hidden="1"/>
    </xf>
    <xf numFmtId="9" fontId="62" fillId="0" borderId="21" xfId="7" applyFont="1" applyFill="1" applyBorder="1" applyAlignment="1" applyProtection="1">
      <alignment horizontal="right"/>
      <protection hidden="1"/>
    </xf>
    <xf numFmtId="9" fontId="34" fillId="3" borderId="0" xfId="7" applyFont="1" applyFill="1" applyBorder="1" applyAlignment="1" applyProtection="1">
      <alignment horizontal="right"/>
      <protection hidden="1"/>
    </xf>
    <xf numFmtId="9" fontId="28" fillId="3" borderId="20" xfId="7" applyFont="1" applyFill="1" applyBorder="1" applyAlignment="1" applyProtection="1">
      <alignment horizontal="right"/>
      <protection hidden="1"/>
    </xf>
    <xf numFmtId="9" fontId="28" fillId="3" borderId="21" xfId="7" applyFont="1" applyFill="1" applyBorder="1" applyAlignment="1" applyProtection="1">
      <alignment horizontal="right"/>
      <protection hidden="1"/>
    </xf>
    <xf numFmtId="9" fontId="34" fillId="0" borderId="20" xfId="7" applyFont="1" applyBorder="1" applyAlignment="1" applyProtection="1">
      <alignment horizontal="right"/>
      <protection hidden="1"/>
    </xf>
    <xf numFmtId="9" fontId="34" fillId="0" borderId="21" xfId="7" applyFont="1" applyBorder="1" applyAlignment="1" applyProtection="1">
      <alignment horizontal="right"/>
      <protection hidden="1"/>
    </xf>
    <xf numFmtId="9" fontId="58" fillId="0" borderId="22" xfId="7" applyFont="1" applyFill="1" applyBorder="1" applyAlignment="1" applyProtection="1">
      <alignment horizontal="right"/>
      <protection hidden="1"/>
    </xf>
    <xf numFmtId="175" fontId="17" fillId="13" borderId="0" xfId="3" applyNumberFormat="1" applyFont="1" applyFill="1" applyBorder="1" applyAlignment="1">
      <alignment horizontal="left" wrapText="1"/>
    </xf>
    <xf numFmtId="0" fontId="67" fillId="13" borderId="0" xfId="3" applyNumberFormat="1" applyFont="1" applyFill="1" applyAlignment="1">
      <alignment horizontal="left" wrapText="1"/>
    </xf>
    <xf numFmtId="0" fontId="28" fillId="0" borderId="68" xfId="17" applyFont="1" applyBorder="1" applyAlignment="1" applyProtection="1">
      <alignment horizontal="left" wrapText="1"/>
      <protection hidden="1"/>
    </xf>
    <xf numFmtId="0" fontId="28" fillId="3" borderId="68" xfId="17" applyFont="1" applyFill="1" applyBorder="1" applyAlignment="1" applyProtection="1">
      <alignment horizontal="left" wrapText="1"/>
      <protection hidden="1"/>
    </xf>
    <xf numFmtId="9" fontId="28" fillId="3" borderId="68" xfId="7" applyFont="1" applyFill="1" applyBorder="1" applyAlignment="1" applyProtection="1">
      <alignment horizontal="left" wrapText="1"/>
      <protection hidden="1"/>
    </xf>
    <xf numFmtId="9" fontId="31" fillId="3" borderId="68" xfId="7" applyFont="1" applyFill="1" applyBorder="1" applyAlignment="1" applyProtection="1">
      <alignment horizontal="left" wrapText="1"/>
      <protection hidden="1"/>
    </xf>
    <xf numFmtId="9" fontId="34" fillId="3" borderId="68" xfId="7" applyFont="1" applyFill="1" applyBorder="1" applyAlignment="1" applyProtection="1">
      <alignment horizontal="left" wrapText="1"/>
      <protection hidden="1"/>
    </xf>
    <xf numFmtId="0" fontId="31" fillId="3" borderId="68" xfId="17" applyFont="1" applyFill="1" applyBorder="1" applyAlignment="1" applyProtection="1">
      <alignment horizontal="left" wrapText="1"/>
      <protection hidden="1"/>
    </xf>
    <xf numFmtId="175" fontId="17" fillId="13" borderId="0" xfId="23" applyNumberFormat="1" applyFont="1" applyFill="1"/>
    <xf numFmtId="0" fontId="25" fillId="13" borderId="0" xfId="23" applyNumberFormat="1" applyFont="1" applyFill="1"/>
    <xf numFmtId="175" fontId="17" fillId="13" borderId="0" xfId="23" applyNumberFormat="1" applyFont="1" applyFill="1" applyAlignment="1">
      <alignment horizontal="center"/>
    </xf>
    <xf numFmtId="175" fontId="60" fillId="13" borderId="0" xfId="23" applyNumberFormat="1" applyFont="1" applyFill="1" applyAlignment="1">
      <alignment horizontal="centerContinuous"/>
    </xf>
    <xf numFmtId="0" fontId="60" fillId="13" borderId="0" xfId="23" applyNumberFormat="1" applyFont="1" applyFill="1" applyAlignment="1">
      <alignment horizontal="centerContinuous"/>
    </xf>
    <xf numFmtId="175" fontId="17" fillId="0" borderId="0" xfId="23" applyNumberFormat="1" applyFont="1"/>
    <xf numFmtId="0" fontId="60" fillId="13" borderId="0" xfId="23" applyNumberFormat="1" applyFont="1" applyFill="1" applyAlignment="1"/>
    <xf numFmtId="175" fontId="60" fillId="13" borderId="0" xfId="23" applyNumberFormat="1" applyFont="1" applyFill="1" applyAlignment="1"/>
    <xf numFmtId="175" fontId="60" fillId="13" borderId="0" xfId="23" applyNumberFormat="1" applyFont="1" applyFill="1" applyAlignment="1">
      <alignment horizontal="center"/>
    </xf>
    <xf numFmtId="177" fontId="60" fillId="13" borderId="0" xfId="23" applyNumberFormat="1" applyFont="1" applyFill="1" applyAlignment="1">
      <alignment horizontal="right"/>
    </xf>
    <xf numFmtId="0" fontId="60" fillId="13" borderId="0" xfId="23" applyNumberFormat="1" applyFont="1" applyFill="1" applyAlignment="1">
      <alignment horizontal="left"/>
    </xf>
    <xf numFmtId="175" fontId="60" fillId="13" borderId="0" xfId="23" applyNumberFormat="1" applyFont="1" applyFill="1" applyAlignment="1">
      <alignment horizontal="left"/>
    </xf>
    <xf numFmtId="0" fontId="48" fillId="0" borderId="0" xfId="6"/>
    <xf numFmtId="0" fontId="69" fillId="2" borderId="0" xfId="27" applyFont="1" applyFill="1" applyProtection="1">
      <protection locked="0"/>
    </xf>
    <xf numFmtId="0" fontId="70" fillId="2" borderId="0" xfId="27" applyFont="1" applyFill="1" applyProtection="1">
      <protection locked="0"/>
    </xf>
    <xf numFmtId="0" fontId="71" fillId="2" borderId="0" xfId="27" applyFont="1" applyFill="1" applyProtection="1">
      <protection locked="0"/>
    </xf>
    <xf numFmtId="49" fontId="71" fillId="2" borderId="0" xfId="27" quotePrefix="1" applyNumberFormat="1" applyFont="1" applyFill="1" applyAlignment="1" applyProtection="1">
      <alignment horizontal="left"/>
      <protection locked="0"/>
    </xf>
    <xf numFmtId="15" fontId="48" fillId="0" borderId="0" xfId="6" quotePrefix="1" applyNumberFormat="1"/>
    <xf numFmtId="49" fontId="72" fillId="2" borderId="0" xfId="27" quotePrefix="1" applyNumberFormat="1" applyFont="1" applyFill="1" applyAlignment="1" applyProtection="1">
      <alignment horizontal="left"/>
      <protection locked="0"/>
    </xf>
    <xf numFmtId="0" fontId="72" fillId="2" borderId="0" xfId="27" applyFont="1" applyFill="1" applyProtection="1">
      <protection locked="0"/>
    </xf>
    <xf numFmtId="175" fontId="17" fillId="13" borderId="0" xfId="23" applyNumberFormat="1" applyFont="1" applyFill="1" applyAlignment="1">
      <alignment vertical="center"/>
    </xf>
    <xf numFmtId="0" fontId="68" fillId="13" borderId="0" xfId="23" applyNumberFormat="1" applyFont="1" applyFill="1" applyAlignment="1">
      <alignment vertical="center"/>
    </xf>
    <xf numFmtId="0" fontId="17" fillId="13" borderId="0" xfId="23" applyNumberFormat="1" applyFont="1" applyFill="1" applyAlignment="1">
      <alignment vertical="center"/>
    </xf>
    <xf numFmtId="0" fontId="17" fillId="13" borderId="0" xfId="23" applyNumberFormat="1" applyFont="1" applyFill="1" applyAlignment="1">
      <alignment horizontal="right" vertical="center"/>
    </xf>
    <xf numFmtId="0" fontId="73" fillId="13" borderId="0" xfId="23" applyNumberFormat="1" applyFont="1" applyFill="1" applyBorder="1" applyAlignment="1">
      <alignment horizontal="left" vertical="center"/>
    </xf>
    <xf numFmtId="175" fontId="60" fillId="13" borderId="0" xfId="23" applyNumberFormat="1" applyFont="1" applyFill="1" applyAlignment="1">
      <alignment horizontal="centerContinuous" vertical="center"/>
    </xf>
    <xf numFmtId="175" fontId="17" fillId="0" borderId="0" xfId="23" applyNumberFormat="1" applyFont="1" applyAlignment="1">
      <alignment vertical="center"/>
    </xf>
    <xf numFmtId="0" fontId="60" fillId="13" borderId="0" xfId="23" applyNumberFormat="1" applyFont="1" applyFill="1" applyAlignment="1">
      <alignment horizontal="center"/>
    </xf>
    <xf numFmtId="0" fontId="60" fillId="13" borderId="0" xfId="23" applyNumberFormat="1" applyFont="1" applyFill="1" applyAlignment="1">
      <alignment horizontal="right"/>
    </xf>
    <xf numFmtId="0" fontId="60" fillId="13" borderId="0" xfId="23" applyNumberFormat="1" applyFont="1" applyFill="1" applyBorder="1" applyAlignment="1">
      <alignment horizontal="right"/>
    </xf>
    <xf numFmtId="0" fontId="17" fillId="0" borderId="0" xfId="23" applyNumberFormat="1" applyFont="1"/>
    <xf numFmtId="175" fontId="17" fillId="0" borderId="0" xfId="23" applyNumberFormat="1" applyFont="1" applyAlignment="1">
      <alignment horizontal="center"/>
    </xf>
    <xf numFmtId="0" fontId="74" fillId="0" borderId="0" xfId="23" applyNumberFormat="1" applyFont="1" applyAlignment="1">
      <alignment horizontal="right"/>
    </xf>
    <xf numFmtId="0" fontId="74" fillId="0" borderId="0" xfId="23" applyNumberFormat="1" applyFont="1" applyBorder="1" applyAlignment="1">
      <alignment horizontal="right"/>
    </xf>
    <xf numFmtId="175" fontId="17" fillId="0" borderId="0" xfId="23" applyNumberFormat="1" applyFont="1" applyAlignment="1">
      <alignment horizontal="right"/>
    </xf>
    <xf numFmtId="175" fontId="17" fillId="0" borderId="0" xfId="23" applyNumberFormat="1" applyFont="1" applyBorder="1" applyAlignment="1">
      <alignment horizontal="right"/>
    </xf>
    <xf numFmtId="0" fontId="22" fillId="11" borderId="14" xfId="23" applyNumberFormat="1" applyFont="1" applyFill="1" applyBorder="1" applyAlignment="1">
      <alignment horizontal="left" vertical="center"/>
    </xf>
    <xf numFmtId="0" fontId="22" fillId="11" borderId="15" xfId="23" applyNumberFormat="1" applyFont="1" applyFill="1" applyBorder="1" applyAlignment="1">
      <alignment horizontal="left" vertical="center"/>
    </xf>
    <xf numFmtId="0" fontId="22" fillId="11" borderId="15" xfId="6" applyFont="1" applyFill="1" applyBorder="1" applyAlignment="1">
      <alignment horizontal="left" vertical="center"/>
    </xf>
    <xf numFmtId="0" fontId="22" fillId="11" borderId="15" xfId="6" applyFont="1" applyFill="1" applyBorder="1" applyAlignment="1">
      <alignment horizontal="right" vertical="center"/>
    </xf>
    <xf numFmtId="178" fontId="22" fillId="11" borderId="15" xfId="6" applyNumberFormat="1" applyFont="1" applyFill="1" applyBorder="1" applyAlignment="1">
      <alignment horizontal="right" vertical="center"/>
    </xf>
    <xf numFmtId="178" fontId="22" fillId="11" borderId="16" xfId="6" applyNumberFormat="1" applyFont="1" applyFill="1" applyBorder="1" applyAlignment="1">
      <alignment horizontal="right" vertical="center"/>
    </xf>
    <xf numFmtId="175" fontId="17" fillId="0" borderId="0" xfId="23" applyNumberFormat="1" applyFont="1" applyFill="1"/>
    <xf numFmtId="175" fontId="17" fillId="4" borderId="0" xfId="23" applyNumberFormat="1" applyFont="1" applyFill="1"/>
    <xf numFmtId="0" fontId="31" fillId="2" borderId="17" xfId="23" applyNumberFormat="1" applyFont="1" applyFill="1" applyBorder="1" applyAlignment="1">
      <alignment horizontal="left" vertical="center"/>
    </xf>
    <xf numFmtId="0" fontId="31" fillId="2" borderId="18" xfId="23" applyNumberFormat="1" applyFont="1" applyFill="1" applyBorder="1" applyAlignment="1">
      <alignment horizontal="left" vertical="center"/>
    </xf>
    <xf numFmtId="175" fontId="31" fillId="2" borderId="18" xfId="23" applyNumberFormat="1" applyFont="1" applyFill="1" applyBorder="1" applyAlignment="1">
      <alignment horizontal="right" vertical="center"/>
    </xf>
    <xf numFmtId="0" fontId="31" fillId="2" borderId="18" xfId="23" applyNumberFormat="1" applyFont="1" applyFill="1" applyBorder="1" applyAlignment="1">
      <alignment horizontal="right" vertical="center"/>
    </xf>
    <xf numFmtId="0" fontId="31" fillId="2" borderId="19" xfId="23" applyNumberFormat="1" applyFont="1" applyFill="1" applyBorder="1" applyAlignment="1">
      <alignment horizontal="right" vertical="center"/>
    </xf>
    <xf numFmtId="0" fontId="57" fillId="0" borderId="20" xfId="23" applyNumberFormat="1" applyFont="1" applyBorder="1"/>
    <xf numFmtId="0" fontId="17" fillId="0" borderId="0" xfId="23" applyNumberFormat="1" applyFont="1" applyFill="1" applyBorder="1"/>
    <xf numFmtId="0" fontId="17" fillId="0" borderId="0" xfId="23" applyNumberFormat="1" applyFont="1" applyFill="1" applyBorder="1" applyAlignment="1">
      <alignment horizontal="center"/>
    </xf>
    <xf numFmtId="0" fontId="28" fillId="0" borderId="0" xfId="23" applyNumberFormat="1" applyFont="1" applyFill="1" applyBorder="1" applyAlignment="1">
      <alignment horizontal="right"/>
    </xf>
    <xf numFmtId="169" fontId="28" fillId="0" borderId="0" xfId="7" applyNumberFormat="1" applyFont="1" applyFill="1" applyBorder="1"/>
    <xf numFmtId="0" fontId="17" fillId="0" borderId="20" xfId="23" applyNumberFormat="1" applyFont="1" applyFill="1" applyBorder="1"/>
    <xf numFmtId="169" fontId="30" fillId="0" borderId="0" xfId="23" applyNumberFormat="1" applyFont="1" applyFill="1" applyBorder="1" applyAlignment="1"/>
    <xf numFmtId="0" fontId="30" fillId="0" borderId="0" xfId="23" applyNumberFormat="1" applyFont="1" applyFill="1" applyBorder="1" applyAlignment="1"/>
    <xf numFmtId="178" fontId="28" fillId="0" borderId="0" xfId="23" applyNumberFormat="1" applyFont="1" applyFill="1" applyBorder="1"/>
    <xf numFmtId="178" fontId="28" fillId="0" borderId="21" xfId="23" applyNumberFormat="1" applyFont="1" applyFill="1" applyBorder="1"/>
    <xf numFmtId="0" fontId="17" fillId="0" borderId="20" xfId="23" applyNumberFormat="1" applyFont="1" applyBorder="1"/>
    <xf numFmtId="0" fontId="57" fillId="0" borderId="0" xfId="23" applyNumberFormat="1" applyFont="1" applyBorder="1"/>
    <xf numFmtId="0" fontId="17" fillId="0" borderId="0" xfId="23" applyNumberFormat="1" applyFont="1" applyBorder="1"/>
    <xf numFmtId="178" fontId="30" fillId="0" borderId="0" xfId="23" applyNumberFormat="1" applyFont="1" applyBorder="1"/>
    <xf numFmtId="178" fontId="28" fillId="0" borderId="0" xfId="23" applyNumberFormat="1" applyFont="1" applyBorder="1"/>
    <xf numFmtId="178" fontId="28" fillId="0" borderId="21" xfId="23" applyNumberFormat="1" applyFont="1" applyBorder="1"/>
    <xf numFmtId="0" fontId="17" fillId="0" borderId="0" xfId="23" applyNumberFormat="1" applyFont="1" applyBorder="1" applyAlignment="1">
      <alignment horizontal="right"/>
    </xf>
    <xf numFmtId="0" fontId="30" fillId="0" borderId="0" xfId="23" applyNumberFormat="1" applyFont="1" applyBorder="1" applyAlignment="1"/>
    <xf numFmtId="0" fontId="26" fillId="0" borderId="69" xfId="23" applyNumberFormat="1" applyFont="1" applyBorder="1"/>
    <xf numFmtId="0" fontId="26" fillId="0" borderId="70" xfId="23" applyNumberFormat="1" applyFont="1" applyBorder="1"/>
    <xf numFmtId="0" fontId="26" fillId="0" borderId="70" xfId="23" applyNumberFormat="1" applyFont="1" applyBorder="1" applyAlignment="1"/>
    <xf numFmtId="0" fontId="26" fillId="0" borderId="70" xfId="23" applyNumberFormat="1" applyFont="1" applyBorder="1" applyAlignment="1">
      <alignment horizontal="right"/>
    </xf>
    <xf numFmtId="178" fontId="31" fillId="0" borderId="70" xfId="23" applyNumberFormat="1" applyFont="1" applyBorder="1"/>
    <xf numFmtId="178" fontId="31" fillId="0" borderId="71" xfId="23" applyNumberFormat="1" applyFont="1" applyBorder="1"/>
    <xf numFmtId="0" fontId="26" fillId="0" borderId="20" xfId="23" applyNumberFormat="1" applyFont="1" applyBorder="1"/>
    <xf numFmtId="0" fontId="26" fillId="0" borderId="0" xfId="23" applyNumberFormat="1" applyFont="1" applyBorder="1"/>
    <xf numFmtId="0" fontId="26" fillId="0" borderId="0" xfId="23" applyNumberFormat="1" applyFont="1" applyBorder="1" applyAlignment="1"/>
    <xf numFmtId="0" fontId="26" fillId="0" borderId="0" xfId="23" applyNumberFormat="1" applyFont="1" applyBorder="1" applyAlignment="1">
      <alignment horizontal="right"/>
    </xf>
    <xf numFmtId="178" fontId="31" fillId="0" borderId="0" xfId="23" applyNumberFormat="1" applyFont="1" applyBorder="1"/>
    <xf numFmtId="178" fontId="31" fillId="0" borderId="21" xfId="23" applyNumberFormat="1" applyFont="1" applyBorder="1"/>
    <xf numFmtId="0" fontId="26" fillId="0" borderId="0" xfId="6" applyFont="1"/>
    <xf numFmtId="0" fontId="26" fillId="0" borderId="0" xfId="6" applyFont="1" applyAlignment="1">
      <alignment horizontal="right"/>
    </xf>
    <xf numFmtId="0" fontId="26" fillId="0" borderId="25" xfId="23" applyNumberFormat="1" applyFont="1" applyBorder="1"/>
    <xf numFmtId="0" fontId="26" fillId="0" borderId="26" xfId="23" applyNumberFormat="1" applyFont="1" applyBorder="1"/>
    <xf numFmtId="0" fontId="26" fillId="0" borderId="26" xfId="6" applyFont="1" applyBorder="1"/>
    <xf numFmtId="0" fontId="26" fillId="0" borderId="26" xfId="6" applyFont="1" applyBorder="1" applyAlignment="1">
      <alignment horizontal="right"/>
    </xf>
    <xf numFmtId="178" fontId="31" fillId="0" borderId="26" xfId="23" applyNumberFormat="1" applyFont="1" applyBorder="1"/>
    <xf numFmtId="178" fontId="31" fillId="0" borderId="27" xfId="23" applyNumberFormat="1" applyFont="1" applyBorder="1"/>
    <xf numFmtId="14" fontId="31" fillId="2" borderId="18" xfId="23" applyNumberFormat="1" applyFont="1" applyFill="1" applyBorder="1" applyAlignment="1">
      <alignment horizontal="right" vertical="center"/>
    </xf>
    <xf numFmtId="175" fontId="17" fillId="0" borderId="0" xfId="23" applyNumberFormat="1" applyFont="1" applyBorder="1"/>
    <xf numFmtId="175" fontId="17" fillId="0" borderId="0" xfId="23" applyNumberFormat="1" applyFont="1" applyBorder="1" applyAlignment="1">
      <alignment horizontal="center"/>
    </xf>
    <xf numFmtId="179" fontId="28" fillId="0" borderId="0" xfId="23" applyNumberFormat="1" applyFont="1" applyBorder="1"/>
    <xf numFmtId="179" fontId="28" fillId="0" borderId="21" xfId="23" applyNumberFormat="1" applyFont="1" applyBorder="1"/>
    <xf numFmtId="0" fontId="17" fillId="0" borderId="25" xfId="23" applyNumberFormat="1" applyFont="1" applyBorder="1"/>
    <xf numFmtId="0" fontId="17" fillId="0" borderId="26" xfId="23" applyNumberFormat="1" applyFont="1" applyBorder="1"/>
    <xf numFmtId="175" fontId="17" fillId="0" borderId="26" xfId="23" applyNumberFormat="1" applyFont="1" applyBorder="1"/>
    <xf numFmtId="175" fontId="17" fillId="0" borderId="26" xfId="23" applyNumberFormat="1" applyFont="1" applyBorder="1" applyAlignment="1">
      <alignment horizontal="center"/>
    </xf>
    <xf numFmtId="179" fontId="28" fillId="0" borderId="26" xfId="23" applyNumberFormat="1" applyFont="1" applyBorder="1"/>
    <xf numFmtId="179" fontId="28" fillId="0" borderId="27" xfId="23" applyNumberFormat="1" applyFont="1" applyBorder="1"/>
    <xf numFmtId="180" fontId="17" fillId="0" borderId="0" xfId="23" applyNumberFormat="1" applyFont="1" applyAlignment="1">
      <alignment horizontal="right"/>
    </xf>
    <xf numFmtId="0" fontId="23" fillId="2" borderId="20" xfId="17" applyFont="1" applyFill="1" applyBorder="1" applyAlignment="1" applyProtection="1">
      <alignment horizontal="left"/>
      <protection hidden="1"/>
    </xf>
    <xf numFmtId="0" fontId="23" fillId="2" borderId="14" xfId="24" applyFont="1" applyFill="1" applyBorder="1" applyAlignment="1">
      <alignment horizontal="left"/>
    </xf>
    <xf numFmtId="3" fontId="23" fillId="2" borderId="15" xfId="24" applyNumberFormat="1" applyFont="1" applyFill="1" applyBorder="1" applyAlignment="1">
      <alignment horizontal="right"/>
    </xf>
    <xf numFmtId="0" fontId="23" fillId="2" borderId="55" xfId="17" applyFont="1" applyFill="1" applyBorder="1" applyAlignment="1" applyProtection="1">
      <alignment horizontal="left"/>
      <protection hidden="1"/>
    </xf>
    <xf numFmtId="0" fontId="23" fillId="2" borderId="56" xfId="17" applyFont="1" applyFill="1" applyBorder="1" applyAlignment="1" applyProtection="1">
      <alignment horizontal="right"/>
      <protection hidden="1"/>
    </xf>
    <xf numFmtId="178" fontId="27" fillId="0" borderId="0" xfId="7" applyNumberFormat="1" applyFont="1" applyFill="1" applyBorder="1" applyAlignment="1">
      <alignment horizontal="right"/>
    </xf>
    <xf numFmtId="3" fontId="75" fillId="0" borderId="0" xfId="6" applyNumberFormat="1" applyFont="1"/>
    <xf numFmtId="0" fontId="22" fillId="11" borderId="72" xfId="23" applyNumberFormat="1" applyFont="1" applyFill="1" applyBorder="1" applyAlignment="1">
      <alignment horizontal="left" vertical="center"/>
    </xf>
    <xf numFmtId="3" fontId="37" fillId="0" borderId="20" xfId="6" applyNumberFormat="1" applyFont="1" applyBorder="1"/>
    <xf numFmtId="3" fontId="75" fillId="0" borderId="21" xfId="6" applyNumberFormat="1" applyFont="1" applyBorder="1"/>
    <xf numFmtId="3" fontId="75" fillId="0" borderId="20" xfId="6" applyNumberFormat="1" applyFont="1" applyBorder="1"/>
    <xf numFmtId="3" fontId="75" fillId="0" borderId="25" xfId="6" applyNumberFormat="1" applyFont="1" applyBorder="1"/>
    <xf numFmtId="3" fontId="75" fillId="0" borderId="26" xfId="6" applyNumberFormat="1" applyFont="1" applyBorder="1"/>
    <xf numFmtId="3" fontId="75" fillId="0" borderId="27" xfId="6" applyNumberFormat="1" applyFont="1" applyBorder="1"/>
    <xf numFmtId="0" fontId="68" fillId="13" borderId="0" xfId="23" applyNumberFormat="1" applyFont="1" applyFill="1"/>
    <xf numFmtId="175" fontId="74" fillId="0" borderId="0" xfId="23" applyNumberFormat="1" applyFont="1" applyAlignment="1">
      <alignment horizontal="right"/>
    </xf>
    <xf numFmtId="37" fontId="22" fillId="11" borderId="15" xfId="6" applyNumberFormat="1" applyFont="1" applyFill="1" applyBorder="1" applyAlignment="1">
      <alignment horizontal="left" vertical="center"/>
    </xf>
    <xf numFmtId="37" fontId="22" fillId="11" borderId="15" xfId="6" applyNumberFormat="1" applyFont="1" applyFill="1" applyBorder="1" applyAlignment="1">
      <alignment horizontal="right" vertical="center"/>
    </xf>
    <xf numFmtId="37" fontId="22" fillId="11" borderId="16" xfId="6" applyNumberFormat="1" applyFont="1" applyFill="1" applyBorder="1" applyAlignment="1">
      <alignment horizontal="right" vertical="center"/>
    </xf>
    <xf numFmtId="175" fontId="26" fillId="0" borderId="0" xfId="23" applyNumberFormat="1" applyFont="1"/>
    <xf numFmtId="0" fontId="28" fillId="2" borderId="20" xfId="23" applyNumberFormat="1" applyFont="1" applyFill="1" applyBorder="1" applyAlignment="1">
      <alignment horizontal="left" vertical="center"/>
    </xf>
    <xf numFmtId="175" fontId="28" fillId="2" borderId="0" xfId="23" applyNumberFormat="1" applyFont="1" applyFill="1" applyBorder="1" applyAlignment="1">
      <alignment horizontal="right" vertical="center"/>
    </xf>
    <xf numFmtId="178" fontId="28" fillId="2" borderId="0" xfId="23" applyNumberFormat="1" applyFont="1" applyFill="1" applyBorder="1" applyAlignment="1">
      <alignment horizontal="right" vertical="center"/>
    </xf>
    <xf numFmtId="0" fontId="28" fillId="2" borderId="20" xfId="23" quotePrefix="1" applyNumberFormat="1" applyFont="1" applyFill="1" applyBorder="1" applyAlignment="1">
      <alignment horizontal="left" vertical="center"/>
    </xf>
    <xf numFmtId="0" fontId="23" fillId="2" borderId="14" xfId="23" applyNumberFormat="1" applyFont="1" applyFill="1" applyBorder="1" applyAlignment="1">
      <alignment horizontal="left" vertical="center"/>
    </xf>
    <xf numFmtId="175" fontId="23" fillId="2" borderId="15" xfId="23" applyNumberFormat="1" applyFont="1" applyFill="1" applyBorder="1" applyAlignment="1">
      <alignment horizontal="right" vertical="center"/>
    </xf>
    <xf numFmtId="178" fontId="23" fillId="2" borderId="15" xfId="23" applyNumberFormat="1" applyFont="1" applyFill="1" applyBorder="1" applyAlignment="1">
      <alignment horizontal="right" vertical="center"/>
    </xf>
    <xf numFmtId="175" fontId="31" fillId="2" borderId="19" xfId="23" applyNumberFormat="1" applyFont="1" applyFill="1" applyBorder="1" applyAlignment="1">
      <alignment horizontal="right" vertical="center"/>
    </xf>
    <xf numFmtId="0" fontId="17" fillId="0" borderId="0" xfId="23" applyNumberFormat="1" applyFont="1" applyBorder="1" applyAlignment="1">
      <alignment horizontal="left"/>
    </xf>
    <xf numFmtId="10" fontId="17" fillId="0" borderId="21" xfId="7" applyNumberFormat="1" applyFont="1" applyBorder="1" applyAlignment="1">
      <alignment horizontal="right"/>
    </xf>
    <xf numFmtId="0" fontId="17" fillId="0" borderId="26" xfId="23" applyNumberFormat="1" applyFont="1" applyBorder="1" applyAlignment="1">
      <alignment horizontal="left"/>
    </xf>
    <xf numFmtId="181" fontId="17" fillId="0" borderId="27" xfId="23" applyNumberFormat="1" applyFont="1" applyBorder="1" applyAlignment="1">
      <alignment horizontal="right"/>
    </xf>
    <xf numFmtId="176" fontId="28" fillId="0" borderId="0" xfId="1" applyNumberFormat="1" applyFont="1" applyAlignment="1" applyProtection="1">
      <alignment horizontal="right"/>
      <protection hidden="1"/>
    </xf>
    <xf numFmtId="178" fontId="28" fillId="2" borderId="0" xfId="1" applyNumberFormat="1" applyFont="1" applyFill="1" applyAlignment="1" applyProtection="1">
      <alignment horizontal="right"/>
      <protection hidden="1"/>
    </xf>
    <xf numFmtId="178" fontId="28" fillId="0" borderId="0" xfId="1" applyNumberFormat="1" applyFont="1" applyAlignment="1" applyProtection="1">
      <alignment horizontal="right"/>
      <protection hidden="1"/>
    </xf>
    <xf numFmtId="10" fontId="28" fillId="0" borderId="0" xfId="7" applyNumberFormat="1" applyFont="1" applyFill="1" applyBorder="1"/>
    <xf numFmtId="0" fontId="26" fillId="0" borderId="20" xfId="23" applyNumberFormat="1" applyFont="1" applyFill="1" applyBorder="1"/>
    <xf numFmtId="0" fontId="26" fillId="0" borderId="0" xfId="23" applyNumberFormat="1" applyFont="1" applyFill="1" applyBorder="1"/>
    <xf numFmtId="169" fontId="55" fillId="0" borderId="0" xfId="23" applyNumberFormat="1" applyFont="1" applyFill="1" applyBorder="1" applyAlignment="1"/>
    <xf numFmtId="10" fontId="31" fillId="0" borderId="0" xfId="7" applyNumberFormat="1" applyFont="1" applyFill="1" applyBorder="1"/>
    <xf numFmtId="169" fontId="31" fillId="0" borderId="0" xfId="7" applyNumberFormat="1" applyFont="1" applyFill="1" applyBorder="1"/>
    <xf numFmtId="169" fontId="31" fillId="0" borderId="21" xfId="7" applyNumberFormat="1" applyFont="1" applyFill="1" applyBorder="1"/>
    <xf numFmtId="175" fontId="26" fillId="0" borderId="0" xfId="23" applyNumberFormat="1" applyFont="1" applyFill="1"/>
    <xf numFmtId="175" fontId="26" fillId="4" borderId="0" xfId="23" applyNumberFormat="1" applyFont="1" applyFill="1"/>
    <xf numFmtId="0" fontId="26" fillId="0" borderId="14" xfId="23" applyNumberFormat="1" applyFont="1" applyFill="1" applyBorder="1"/>
    <xf numFmtId="0" fontId="26" fillId="0" borderId="15" xfId="23" applyNumberFormat="1" applyFont="1" applyFill="1" applyBorder="1"/>
    <xf numFmtId="169" fontId="55" fillId="0" borderId="15" xfId="23" applyNumberFormat="1" applyFont="1" applyFill="1" applyBorder="1" applyAlignment="1"/>
    <xf numFmtId="10" fontId="31" fillId="0" borderId="15" xfId="7" applyNumberFormat="1" applyFont="1" applyFill="1" applyBorder="1"/>
    <xf numFmtId="1" fontId="17" fillId="0" borderId="0" xfId="23" applyNumberFormat="1" applyFont="1"/>
    <xf numFmtId="1" fontId="68" fillId="0" borderId="0" xfId="7" applyNumberFormat="1" applyFont="1" applyFill="1" applyBorder="1"/>
    <xf numFmtId="1" fontId="68" fillId="0" borderId="21" xfId="7" applyNumberFormat="1" applyFont="1" applyFill="1" applyBorder="1"/>
    <xf numFmtId="10" fontId="28" fillId="0" borderId="21" xfId="7" applyNumberFormat="1" applyFont="1" applyFill="1" applyBorder="1"/>
    <xf numFmtId="10" fontId="31" fillId="0" borderId="16" xfId="7" applyNumberFormat="1" applyFont="1" applyFill="1" applyBorder="1"/>
    <xf numFmtId="179" fontId="28" fillId="0" borderId="0" xfId="23" quotePrefix="1" applyNumberFormat="1" applyFont="1" applyBorder="1"/>
    <xf numFmtId="182" fontId="23" fillId="2" borderId="15" xfId="17" applyNumberFormat="1" applyFont="1" applyFill="1" applyBorder="1" applyAlignment="1" applyProtection="1">
      <alignment horizontal="right"/>
      <protection hidden="1"/>
    </xf>
    <xf numFmtId="182" fontId="23" fillId="2" borderId="16" xfId="17" applyNumberFormat="1" applyFont="1" applyFill="1" applyBorder="1" applyAlignment="1" applyProtection="1">
      <alignment horizontal="right"/>
      <protection hidden="1"/>
    </xf>
    <xf numFmtId="0" fontId="60" fillId="13" borderId="0" xfId="26" applyNumberFormat="1" applyFont="1" applyFill="1"/>
    <xf numFmtId="9" fontId="34" fillId="0" borderId="21" xfId="7" applyFont="1" applyFill="1" applyBorder="1" applyAlignment="1" applyProtection="1">
      <alignment horizontal="right"/>
      <protection hidden="1"/>
    </xf>
    <xf numFmtId="0" fontId="31" fillId="3" borderId="20" xfId="17" applyFont="1" applyFill="1" applyBorder="1" applyProtection="1">
      <protection hidden="1"/>
    </xf>
    <xf numFmtId="169" fontId="34" fillId="3" borderId="0" xfId="9" applyNumberFormat="1" applyFont="1" applyFill="1" applyBorder="1" applyProtection="1">
      <protection hidden="1"/>
    </xf>
    <xf numFmtId="0" fontId="0" fillId="14" borderId="0" xfId="0" applyFill="1"/>
    <xf numFmtId="4" fontId="56" fillId="0" borderId="0" xfId="22" applyNumberFormat="1"/>
    <xf numFmtId="0" fontId="56" fillId="0" borderId="0" xfId="22"/>
    <xf numFmtId="9" fontId="28" fillId="3" borderId="56" xfId="7" applyFont="1" applyFill="1" applyBorder="1" applyAlignment="1" applyProtection="1">
      <alignment horizontal="right"/>
      <protection hidden="1"/>
    </xf>
    <xf numFmtId="9" fontId="31" fillId="3" borderId="18" xfId="7" applyFont="1" applyFill="1" applyBorder="1" applyAlignment="1" applyProtection="1">
      <alignment horizontal="right"/>
      <protection hidden="1"/>
    </xf>
    <xf numFmtId="9" fontId="28" fillId="3" borderId="57" xfId="7" applyFont="1" applyFill="1" applyBorder="1" applyAlignment="1" applyProtection="1">
      <alignment horizontal="right"/>
      <protection hidden="1"/>
    </xf>
    <xf numFmtId="9" fontId="31" fillId="3" borderId="19" xfId="7" applyFont="1" applyFill="1" applyBorder="1" applyAlignment="1" applyProtection="1">
      <alignment horizontal="right"/>
      <protection hidden="1"/>
    </xf>
    <xf numFmtId="9" fontId="28" fillId="3" borderId="55" xfId="7" applyFont="1" applyFill="1" applyBorder="1" applyAlignment="1" applyProtection="1">
      <alignment horizontal="right"/>
      <protection hidden="1"/>
    </xf>
    <xf numFmtId="9" fontId="31" fillId="3" borderId="17" xfId="7" applyFont="1" applyFill="1" applyBorder="1" applyAlignment="1" applyProtection="1">
      <alignment horizontal="right"/>
      <protection hidden="1"/>
    </xf>
    <xf numFmtId="9" fontId="31" fillId="0" borderId="20" xfId="7" applyFont="1" applyFill="1" applyBorder="1" applyAlignment="1" applyProtection="1">
      <alignment horizontal="right"/>
      <protection hidden="1"/>
    </xf>
    <xf numFmtId="9" fontId="31" fillId="0" borderId="0" xfId="7" applyFont="1" applyFill="1" applyBorder="1" applyAlignment="1" applyProtection="1">
      <alignment horizontal="right"/>
      <protection hidden="1"/>
    </xf>
    <xf numFmtId="9" fontId="31" fillId="0" borderId="21" xfId="7" applyFont="1" applyFill="1" applyBorder="1" applyAlignment="1" applyProtection="1">
      <alignment horizontal="right"/>
      <protection hidden="1"/>
    </xf>
    <xf numFmtId="167" fontId="28" fillId="3" borderId="20" xfId="17" applyNumberFormat="1" applyFont="1" applyFill="1" applyBorder="1" applyProtection="1">
      <protection hidden="1"/>
    </xf>
    <xf numFmtId="9" fontId="28" fillId="0" borderId="56" xfId="7" applyFont="1" applyFill="1" applyBorder="1" applyAlignment="1" applyProtection="1">
      <alignment horizontal="right"/>
      <protection hidden="1"/>
    </xf>
    <xf numFmtId="0" fontId="31" fillId="0" borderId="14" xfId="17" applyFont="1" applyBorder="1" applyAlignment="1" applyProtection="1">
      <alignment horizontal="right"/>
      <protection hidden="1"/>
    </xf>
    <xf numFmtId="0" fontId="31" fillId="0" borderId="15" xfId="17" applyFont="1" applyBorder="1" applyAlignment="1" applyProtection="1">
      <alignment horizontal="right"/>
      <protection hidden="1"/>
    </xf>
    <xf numFmtId="0" fontId="31" fillId="0" borderId="16" xfId="17" applyFont="1" applyBorder="1" applyAlignment="1" applyProtection="1">
      <alignment horizontal="right"/>
      <protection hidden="1"/>
    </xf>
    <xf numFmtId="0" fontId="28" fillId="3" borderId="14" xfId="17" applyFont="1" applyFill="1" applyBorder="1" applyAlignment="1" applyProtection="1">
      <alignment horizontal="right"/>
      <protection hidden="1"/>
    </xf>
    <xf numFmtId="0" fontId="28" fillId="3" borderId="15" xfId="17" applyFont="1" applyFill="1" applyBorder="1" applyAlignment="1" applyProtection="1">
      <alignment horizontal="right"/>
      <protection hidden="1"/>
    </xf>
    <xf numFmtId="0" fontId="28" fillId="3" borderId="16" xfId="17" applyFont="1" applyFill="1" applyBorder="1" applyAlignment="1" applyProtection="1">
      <alignment horizontal="right"/>
      <protection hidden="1"/>
    </xf>
    <xf numFmtId="9" fontId="28" fillId="0" borderId="55" xfId="7" applyFont="1" applyFill="1" applyBorder="1" applyAlignment="1" applyProtection="1">
      <alignment horizontal="right"/>
      <protection hidden="1"/>
    </xf>
    <xf numFmtId="9" fontId="28" fillId="0" borderId="57" xfId="7" applyFont="1" applyFill="1" applyBorder="1" applyAlignment="1" applyProtection="1">
      <alignment horizontal="right"/>
      <protection hidden="1"/>
    </xf>
    <xf numFmtId="167" fontId="28" fillId="0" borderId="20" xfId="17" applyNumberFormat="1" applyFont="1" applyBorder="1" applyProtection="1">
      <protection hidden="1"/>
    </xf>
    <xf numFmtId="167" fontId="31" fillId="3" borderId="20" xfId="17" applyNumberFormat="1" applyFont="1" applyFill="1" applyBorder="1" applyProtection="1">
      <protection hidden="1"/>
    </xf>
    <xf numFmtId="9" fontId="31" fillId="0" borderId="17" xfId="7" applyFont="1" applyFill="1" applyBorder="1" applyAlignment="1" applyProtection="1">
      <alignment horizontal="right"/>
      <protection hidden="1"/>
    </xf>
    <xf numFmtId="9" fontId="31" fillId="0" borderId="18" xfId="7" applyFont="1" applyFill="1" applyBorder="1" applyAlignment="1" applyProtection="1">
      <alignment horizontal="right"/>
      <protection hidden="1"/>
    </xf>
    <xf numFmtId="9" fontId="31" fillId="0" borderId="19" xfId="7" applyFont="1" applyFill="1" applyBorder="1" applyAlignment="1" applyProtection="1">
      <alignment horizontal="right"/>
      <protection hidden="1"/>
    </xf>
    <xf numFmtId="9" fontId="28" fillId="0" borderId="0" xfId="7" applyFont="1" applyBorder="1" applyAlignment="1" applyProtection="1">
      <alignment horizontal="right"/>
      <protection hidden="1"/>
    </xf>
    <xf numFmtId="9" fontId="34" fillId="0" borderId="0" xfId="7" applyFont="1" applyBorder="1" applyAlignment="1" applyProtection="1">
      <alignment horizontal="right"/>
      <protection hidden="1"/>
    </xf>
    <xf numFmtId="9" fontId="28" fillId="0" borderId="15" xfId="7" applyFont="1" applyFill="1" applyBorder="1" applyAlignment="1" applyProtection="1">
      <alignment horizontal="right"/>
      <protection hidden="1"/>
    </xf>
    <xf numFmtId="9" fontId="28" fillId="0" borderId="16" xfId="7" applyFont="1" applyFill="1" applyBorder="1" applyAlignment="1" applyProtection="1">
      <alignment horizontal="right"/>
      <protection hidden="1"/>
    </xf>
    <xf numFmtId="9" fontId="28" fillId="0" borderId="17" xfId="7" applyFont="1" applyFill="1" applyBorder="1" applyAlignment="1" applyProtection="1">
      <alignment horizontal="right"/>
      <protection hidden="1"/>
    </xf>
    <xf numFmtId="9" fontId="28" fillId="0" borderId="18" xfId="7" applyFont="1" applyFill="1" applyBorder="1" applyAlignment="1" applyProtection="1">
      <alignment horizontal="right"/>
      <protection hidden="1"/>
    </xf>
    <xf numFmtId="9" fontId="28" fillId="0" borderId="19" xfId="7" applyFont="1" applyFill="1" applyBorder="1" applyAlignment="1" applyProtection="1">
      <alignment horizontal="right"/>
      <protection hidden="1"/>
    </xf>
    <xf numFmtId="9" fontId="31" fillId="0" borderId="22" xfId="7" applyFont="1" applyFill="1" applyBorder="1" applyAlignment="1" applyProtection="1">
      <alignment horizontal="right"/>
      <protection hidden="1"/>
    </xf>
    <xf numFmtId="9" fontId="31" fillId="0" borderId="23" xfId="7" applyFont="1" applyFill="1" applyBorder="1" applyAlignment="1" applyProtection="1">
      <alignment horizontal="right"/>
      <protection hidden="1"/>
    </xf>
    <xf numFmtId="9" fontId="31" fillId="0" borderId="24" xfId="7" applyFont="1" applyFill="1" applyBorder="1" applyAlignment="1" applyProtection="1">
      <alignment horizontal="right"/>
      <protection hidden="1"/>
    </xf>
    <xf numFmtId="9" fontId="31" fillId="0" borderId="55" xfId="7" applyFont="1" applyFill="1" applyBorder="1" applyAlignment="1" applyProtection="1">
      <alignment horizontal="right"/>
      <protection hidden="1"/>
    </xf>
    <xf numFmtId="9" fontId="31" fillId="0" borderId="56" xfId="7" applyFont="1" applyFill="1" applyBorder="1" applyAlignment="1" applyProtection="1">
      <alignment horizontal="right"/>
      <protection hidden="1"/>
    </xf>
    <xf numFmtId="9" fontId="31" fillId="0" borderId="57" xfId="7" applyFont="1" applyFill="1" applyBorder="1" applyAlignment="1" applyProtection="1">
      <alignment horizontal="right"/>
      <protection hidden="1"/>
    </xf>
    <xf numFmtId="9" fontId="31" fillId="0" borderId="17" xfId="7" applyFont="1" applyBorder="1" applyAlignment="1" applyProtection="1">
      <alignment horizontal="right"/>
      <protection hidden="1"/>
    </xf>
    <xf numFmtId="9" fontId="34" fillId="0" borderId="0" xfId="7" applyFont="1" applyFill="1" applyBorder="1" applyAlignment="1" applyProtection="1">
      <alignment horizontal="right"/>
      <protection hidden="1"/>
    </xf>
    <xf numFmtId="175" fontId="17" fillId="13" borderId="0" xfId="26" applyNumberFormat="1" applyFont="1" applyFill="1"/>
    <xf numFmtId="3" fontId="76" fillId="0" borderId="0" xfId="0" applyNumberFormat="1" applyFont="1"/>
    <xf numFmtId="0" fontId="17" fillId="13" borderId="0" xfId="26" applyNumberFormat="1" applyFont="1" applyFill="1"/>
    <xf numFmtId="0" fontId="31" fillId="0" borderId="0" xfId="0" applyFont="1" applyAlignment="1">
      <alignment vertical="center"/>
    </xf>
    <xf numFmtId="0" fontId="28" fillId="0" borderId="0" xfId="0" applyFont="1"/>
    <xf numFmtId="0" fontId="31" fillId="15" borderId="73" xfId="0" applyFont="1" applyFill="1" applyBorder="1" applyAlignment="1">
      <alignment vertical="center"/>
    </xf>
    <xf numFmtId="0" fontId="31" fillId="10" borderId="73" xfId="0" applyFont="1" applyFill="1" applyBorder="1" applyAlignment="1">
      <alignment vertical="center"/>
    </xf>
    <xf numFmtId="0" fontId="17" fillId="10" borderId="73" xfId="0" applyFont="1" applyFill="1" applyBorder="1" applyAlignment="1">
      <alignment vertical="center"/>
    </xf>
    <xf numFmtId="0" fontId="17" fillId="0" borderId="0" xfId="0" applyFont="1" applyAlignment="1">
      <alignment vertical="center"/>
    </xf>
    <xf numFmtId="3" fontId="28" fillId="7" borderId="78" xfId="0" applyNumberFormat="1" applyFont="1" applyFill="1" applyBorder="1" applyProtection="1">
      <protection locked="0"/>
    </xf>
    <xf numFmtId="3" fontId="28" fillId="0" borderId="0" xfId="9" applyNumberFormat="1" applyFont="1" applyFill="1" applyBorder="1" applyProtection="1">
      <protection locked="0"/>
    </xf>
    <xf numFmtId="9" fontId="28" fillId="0" borderId="0" xfId="9" applyFont="1" applyFill="1" applyBorder="1" applyAlignment="1" applyProtection="1">
      <alignment horizontal="right"/>
    </xf>
    <xf numFmtId="0" fontId="31" fillId="10" borderId="84" xfId="0" applyFont="1" applyFill="1" applyBorder="1"/>
    <xf numFmtId="3" fontId="28" fillId="0" borderId="85" xfId="0" applyNumberFormat="1" applyFont="1" applyBorder="1"/>
    <xf numFmtId="9" fontId="28" fillId="0" borderId="86" xfId="9" applyFont="1" applyFill="1" applyBorder="1" applyProtection="1">
      <protection locked="0"/>
    </xf>
    <xf numFmtId="9" fontId="28" fillId="0" borderId="0" xfId="9" applyFont="1" applyFill="1" applyBorder="1" applyProtection="1">
      <protection locked="0"/>
    </xf>
    <xf numFmtId="3" fontId="28" fillId="7" borderId="87" xfId="0" applyNumberFormat="1" applyFont="1" applyFill="1" applyBorder="1" applyProtection="1">
      <protection locked="0"/>
    </xf>
    <xf numFmtId="9" fontId="28" fillId="0" borderId="0" xfId="9" applyFont="1" applyBorder="1" applyProtection="1">
      <protection locked="0"/>
    </xf>
    <xf numFmtId="0" fontId="31" fillId="15" borderId="74" xfId="0" applyFont="1" applyFill="1" applyBorder="1" applyAlignment="1">
      <alignment vertical="center"/>
    </xf>
    <xf numFmtId="0" fontId="28" fillId="15" borderId="75" xfId="0" applyFont="1" applyFill="1" applyBorder="1" applyAlignment="1">
      <alignment vertical="center"/>
    </xf>
    <xf numFmtId="14" fontId="31" fillId="15" borderId="73" xfId="0" applyNumberFormat="1" applyFont="1" applyFill="1" applyBorder="1" applyAlignment="1">
      <alignment vertical="center"/>
    </xf>
    <xf numFmtId="0" fontId="31" fillId="10" borderId="80" xfId="0" applyFont="1" applyFill="1" applyBorder="1" applyAlignment="1">
      <alignment vertical="center"/>
    </xf>
    <xf numFmtId="0" fontId="31" fillId="10" borderId="95" xfId="0" applyFont="1" applyFill="1" applyBorder="1" applyAlignment="1">
      <alignment vertical="center"/>
    </xf>
    <xf numFmtId="0" fontId="31" fillId="10" borderId="95" xfId="0" applyFont="1" applyFill="1" applyBorder="1" applyAlignment="1">
      <alignment vertical="center" wrapText="1"/>
    </xf>
    <xf numFmtId="0" fontId="31" fillId="10" borderId="88" xfId="0" applyFont="1" applyFill="1" applyBorder="1" applyAlignment="1">
      <alignment vertical="center" wrapText="1"/>
    </xf>
    <xf numFmtId="0" fontId="28" fillId="10" borderId="73" xfId="0" applyFont="1" applyFill="1" applyBorder="1"/>
    <xf numFmtId="0" fontId="28" fillId="7" borderId="80" xfId="0" applyFont="1" applyFill="1" applyBorder="1" applyProtection="1">
      <protection locked="0"/>
    </xf>
    <xf numFmtId="0" fontId="28" fillId="7" borderId="95" xfId="0" applyFont="1" applyFill="1" applyBorder="1" applyAlignment="1" applyProtection="1">
      <alignment horizontal="center"/>
      <protection locked="0"/>
    </xf>
    <xf numFmtId="9" fontId="28" fillId="0" borderId="98" xfId="9" applyFont="1" applyBorder="1"/>
    <xf numFmtId="0" fontId="28" fillId="0" borderId="95" xfId="0" applyFont="1" applyBorder="1"/>
    <xf numFmtId="9" fontId="28" fillId="0" borderId="95" xfId="9" applyFont="1" applyBorder="1"/>
    <xf numFmtId="0" fontId="28" fillId="7" borderId="84" xfId="0" applyFont="1" applyFill="1" applyBorder="1" applyProtection="1">
      <protection locked="0"/>
    </xf>
    <xf numFmtId="0" fontId="28" fillId="7" borderId="100" xfId="0" applyFont="1" applyFill="1" applyBorder="1" applyAlignment="1" applyProtection="1">
      <alignment horizontal="center"/>
      <protection locked="0"/>
    </xf>
    <xf numFmtId="9" fontId="28" fillId="0" borderId="0" xfId="9" applyFont="1" applyBorder="1"/>
    <xf numFmtId="3" fontId="28" fillId="0" borderId="95" xfId="0" applyNumberFormat="1" applyFont="1" applyBorder="1" applyProtection="1">
      <protection locked="0"/>
    </xf>
    <xf numFmtId="0" fontId="28" fillId="10" borderId="80" xfId="0" applyFont="1" applyFill="1" applyBorder="1"/>
    <xf numFmtId="0" fontId="28" fillId="10" borderId="95" xfId="0" applyFont="1" applyFill="1" applyBorder="1"/>
    <xf numFmtId="0" fontId="28" fillId="10" borderId="84" xfId="0" applyFont="1" applyFill="1" applyBorder="1"/>
    <xf numFmtId="0" fontId="28" fillId="10" borderId="100" xfId="0" applyFont="1" applyFill="1" applyBorder="1"/>
    <xf numFmtId="3" fontId="28" fillId="0" borderId="100" xfId="0" applyNumberFormat="1" applyFont="1" applyBorder="1" applyProtection="1">
      <protection locked="0"/>
    </xf>
    <xf numFmtId="0" fontId="28" fillId="0" borderId="100" xfId="0" applyFont="1" applyBorder="1"/>
    <xf numFmtId="0" fontId="28" fillId="0" borderId="0" xfId="0" applyFont="1" applyProtection="1">
      <protection locked="0"/>
    </xf>
    <xf numFmtId="0" fontId="28" fillId="0" borderId="0" xfId="0" applyFont="1" applyAlignment="1">
      <alignment vertical="top" wrapText="1"/>
    </xf>
    <xf numFmtId="0" fontId="28" fillId="15" borderId="75" xfId="0" applyFont="1" applyFill="1" applyBorder="1"/>
    <xf numFmtId="3" fontId="28" fillId="7" borderId="98" xfId="0" applyNumberFormat="1" applyFont="1" applyFill="1" applyBorder="1" applyProtection="1">
      <protection locked="0"/>
    </xf>
    <xf numFmtId="0" fontId="28" fillId="7" borderId="95" xfId="0" applyFont="1" applyFill="1" applyBorder="1" applyProtection="1">
      <protection locked="0"/>
    </xf>
    <xf numFmtId="3" fontId="28" fillId="7" borderId="95" xfId="0" applyNumberFormat="1" applyFont="1" applyFill="1" applyBorder="1" applyProtection="1">
      <protection locked="0"/>
    </xf>
    <xf numFmtId="0" fontId="31" fillId="10" borderId="109" xfId="0" applyFont="1" applyFill="1" applyBorder="1" applyAlignment="1">
      <alignment vertical="center"/>
    </xf>
    <xf numFmtId="0" fontId="31" fillId="10" borderId="73" xfId="0" applyFont="1" applyFill="1" applyBorder="1" applyAlignment="1">
      <alignment vertical="center" wrapText="1"/>
    </xf>
    <xf numFmtId="0" fontId="31" fillId="10" borderId="73" xfId="0" applyFont="1" applyFill="1" applyBorder="1" applyAlignment="1">
      <alignment vertical="top" wrapText="1"/>
    </xf>
    <xf numFmtId="0" fontId="31" fillId="10" borderId="111" xfId="0" applyFont="1" applyFill="1" applyBorder="1" applyAlignment="1">
      <alignment vertical="center" wrapText="1"/>
    </xf>
    <xf numFmtId="0" fontId="28" fillId="7" borderId="112" xfId="0" applyFont="1" applyFill="1" applyBorder="1" applyProtection="1">
      <protection locked="0"/>
    </xf>
    <xf numFmtId="0" fontId="28" fillId="7" borderId="113" xfId="0" applyFont="1" applyFill="1" applyBorder="1" applyProtection="1">
      <protection locked="0"/>
    </xf>
    <xf numFmtId="3" fontId="28" fillId="7" borderId="114" xfId="0" applyNumberFormat="1" applyFont="1" applyFill="1" applyBorder="1" applyProtection="1">
      <protection locked="0"/>
    </xf>
    <xf numFmtId="14" fontId="28" fillId="7" borderId="114" xfId="0" applyNumberFormat="1" applyFont="1" applyFill="1" applyBorder="1" applyProtection="1">
      <protection locked="0"/>
    </xf>
    <xf numFmtId="3" fontId="28" fillId="7" borderId="115" xfId="0" applyNumberFormat="1" applyFont="1" applyFill="1" applyBorder="1" applyProtection="1">
      <protection locked="0"/>
    </xf>
    <xf numFmtId="0" fontId="31" fillId="10" borderId="73" xfId="28" applyFont="1" applyFill="1" applyBorder="1" applyAlignment="1">
      <alignment horizontal="center" vertical="center"/>
    </xf>
    <xf numFmtId="0" fontId="28" fillId="7" borderId="87" xfId="0" applyFont="1" applyFill="1" applyBorder="1" applyProtection="1">
      <protection locked="0"/>
    </xf>
    <xf numFmtId="14" fontId="28" fillId="7" borderId="95" xfId="0" applyNumberFormat="1" applyFont="1" applyFill="1" applyBorder="1" applyProtection="1">
      <protection locked="0"/>
    </xf>
    <xf numFmtId="3" fontId="28" fillId="7" borderId="88" xfId="0" applyNumberFormat="1" applyFont="1" applyFill="1" applyBorder="1" applyProtection="1">
      <protection locked="0"/>
    </xf>
    <xf numFmtId="3" fontId="28" fillId="0" borderId="0" xfId="0" applyNumberFormat="1" applyFont="1" applyProtection="1">
      <protection locked="0"/>
    </xf>
    <xf numFmtId="0" fontId="68" fillId="0" borderId="0" xfId="0" applyFont="1" applyProtection="1">
      <protection locked="0"/>
    </xf>
    <xf numFmtId="0" fontId="68" fillId="0" borderId="0" xfId="0" applyFont="1"/>
    <xf numFmtId="3" fontId="68" fillId="0" borderId="0" xfId="0" applyNumberFormat="1" applyFont="1"/>
    <xf numFmtId="0" fontId="26" fillId="7" borderId="73" xfId="0" applyFont="1" applyFill="1" applyBorder="1" applyAlignment="1" applyProtection="1">
      <alignment horizontal="center"/>
      <protection locked="0"/>
    </xf>
    <xf numFmtId="0" fontId="28" fillId="7" borderId="98" xfId="0" applyFont="1" applyFill="1" applyBorder="1" applyProtection="1">
      <protection locked="0"/>
    </xf>
    <xf numFmtId="0" fontId="28" fillId="7" borderId="83" xfId="0" applyFont="1" applyFill="1" applyBorder="1" applyProtection="1">
      <protection locked="0"/>
    </xf>
    <xf numFmtId="0" fontId="28" fillId="7" borderId="108" xfId="0" applyFont="1" applyFill="1" applyBorder="1" applyProtection="1">
      <protection locked="0"/>
    </xf>
    <xf numFmtId="3" fontId="28" fillId="7" borderId="122" xfId="0" applyNumberFormat="1" applyFont="1" applyFill="1" applyBorder="1" applyProtection="1">
      <protection locked="0"/>
    </xf>
    <xf numFmtId="0" fontId="28" fillId="7" borderId="122" xfId="0" applyFont="1" applyFill="1" applyBorder="1" applyProtection="1">
      <protection locked="0"/>
    </xf>
    <xf numFmtId="3" fontId="28" fillId="7" borderId="123" xfId="0" applyNumberFormat="1" applyFont="1" applyFill="1" applyBorder="1" applyProtection="1">
      <protection locked="0"/>
    </xf>
    <xf numFmtId="0" fontId="28" fillId="0" borderId="96" xfId="0" applyFont="1" applyBorder="1" applyProtection="1">
      <protection locked="0"/>
    </xf>
    <xf numFmtId="0" fontId="28" fillId="0" borderId="127" xfId="0" applyFont="1" applyBorder="1" applyProtection="1">
      <protection locked="0"/>
    </xf>
    <xf numFmtId="3" fontId="28" fillId="0" borderId="104" xfId="0" applyNumberFormat="1" applyFont="1" applyBorder="1" applyProtection="1">
      <protection locked="0"/>
    </xf>
    <xf numFmtId="0" fontId="28" fillId="0" borderId="104" xfId="0" applyFont="1" applyBorder="1" applyProtection="1">
      <protection locked="0"/>
    </xf>
    <xf numFmtId="3" fontId="28" fillId="0" borderId="97" xfId="0" applyNumberFormat="1" applyFont="1" applyBorder="1" applyProtection="1">
      <protection locked="0"/>
    </xf>
    <xf numFmtId="0" fontId="28" fillId="0" borderId="97" xfId="0" applyFont="1" applyBorder="1" applyProtection="1">
      <protection locked="0"/>
    </xf>
    <xf numFmtId="14" fontId="28" fillId="7" borderId="98" xfId="0" applyNumberFormat="1" applyFont="1" applyFill="1" applyBorder="1" applyProtection="1">
      <protection locked="0"/>
    </xf>
    <xf numFmtId="0" fontId="31" fillId="10" borderId="109" xfId="0" applyFont="1" applyFill="1" applyBorder="1" applyAlignment="1">
      <alignment vertical="center" wrapText="1"/>
    </xf>
    <xf numFmtId="14" fontId="76" fillId="0" borderId="0" xfId="0" applyNumberFormat="1" applyFont="1"/>
    <xf numFmtId="0" fontId="31" fillId="10" borderId="77" xfId="0" applyFont="1" applyFill="1" applyBorder="1"/>
    <xf numFmtId="9" fontId="28" fillId="0" borderId="79" xfId="9" applyFont="1" applyBorder="1" applyAlignment="1" applyProtection="1">
      <alignment horizontal="right"/>
    </xf>
    <xf numFmtId="0" fontId="31" fillId="10" borderId="80" xfId="0" applyFont="1" applyFill="1" applyBorder="1"/>
    <xf numFmtId="183" fontId="28" fillId="7" borderId="80" xfId="0" applyNumberFormat="1" applyFont="1" applyFill="1" applyBorder="1" applyProtection="1">
      <protection locked="0"/>
    </xf>
    <xf numFmtId="9" fontId="28" fillId="0" borderId="88" xfId="9" applyFont="1" applyBorder="1" applyAlignment="1" applyProtection="1">
      <alignment horizontal="right"/>
    </xf>
    <xf numFmtId="0" fontId="31" fillId="10" borderId="83" xfId="0" applyFont="1" applyFill="1" applyBorder="1"/>
    <xf numFmtId="0" fontId="28" fillId="7" borderId="80" xfId="0" applyFont="1" applyFill="1" applyBorder="1" applyAlignment="1" applyProtection="1">
      <alignment horizontal="left"/>
      <protection locked="0"/>
    </xf>
    <xf numFmtId="10" fontId="28" fillId="0" borderId="88" xfId="9" applyNumberFormat="1" applyFont="1" applyBorder="1" applyAlignment="1" applyProtection="1">
      <alignment horizontal="center"/>
    </xf>
    <xf numFmtId="0" fontId="28" fillId="7" borderId="100" xfId="0" applyFont="1" applyFill="1" applyBorder="1" applyProtection="1">
      <protection locked="0"/>
    </xf>
    <xf numFmtId="10" fontId="28" fillId="3" borderId="95" xfId="9" applyNumberFormat="1" applyFont="1" applyFill="1" applyBorder="1" applyProtection="1">
      <protection locked="0"/>
    </xf>
    <xf numFmtId="183" fontId="28" fillId="7" borderId="95" xfId="28" applyNumberFormat="1" applyFont="1" applyFill="1" applyBorder="1" applyProtection="1">
      <protection locked="0"/>
    </xf>
    <xf numFmtId="0" fontId="28" fillId="3" borderId="0" xfId="28" applyFont="1" applyFill="1"/>
    <xf numFmtId="0" fontId="17" fillId="3" borderId="0" xfId="0" applyFont="1" applyFill="1"/>
    <xf numFmtId="3" fontId="25" fillId="0" borderId="0" xfId="0" applyNumberFormat="1" applyFont="1" applyProtection="1">
      <protection locked="0"/>
    </xf>
    <xf numFmtId="0" fontId="31" fillId="0" borderId="112" xfId="0" applyFont="1" applyBorder="1" applyProtection="1">
      <protection locked="0"/>
    </xf>
    <xf numFmtId="3" fontId="28" fillId="7" borderId="113" xfId="0" applyNumberFormat="1" applyFont="1" applyFill="1" applyBorder="1" applyProtection="1">
      <protection locked="0"/>
    </xf>
    <xf numFmtId="0" fontId="28" fillId="7" borderId="115" xfId="0" applyFont="1" applyFill="1" applyBorder="1" applyProtection="1">
      <protection locked="0"/>
    </xf>
    <xf numFmtId="0" fontId="31" fillId="0" borderId="80" xfId="0" applyFont="1" applyBorder="1" applyProtection="1">
      <protection locked="0"/>
    </xf>
    <xf numFmtId="0" fontId="28" fillId="7" borderId="88" xfId="0" applyFont="1" applyFill="1" applyBorder="1" applyProtection="1">
      <protection locked="0"/>
    </xf>
    <xf numFmtId="0" fontId="31" fillId="0" borderId="84" xfId="0" applyFont="1" applyBorder="1" applyProtection="1">
      <protection locked="0"/>
    </xf>
    <xf numFmtId="3" fontId="28" fillId="7" borderId="85" xfId="0" applyNumberFormat="1" applyFont="1" applyFill="1" applyBorder="1" applyProtection="1">
      <protection locked="0"/>
    </xf>
    <xf numFmtId="0" fontId="28" fillId="7" borderId="86" xfId="0" applyFont="1" applyFill="1" applyBorder="1" applyProtection="1">
      <protection locked="0"/>
    </xf>
    <xf numFmtId="178" fontId="28" fillId="0" borderId="0" xfId="7" applyNumberFormat="1" applyFont="1" applyBorder="1" applyAlignment="1">
      <alignment horizontal="right"/>
    </xf>
    <xf numFmtId="182" fontId="23" fillId="0" borderId="15" xfId="17" applyNumberFormat="1" applyFont="1" applyBorder="1" applyAlignment="1" applyProtection="1">
      <alignment horizontal="right"/>
      <protection hidden="1"/>
    </xf>
    <xf numFmtId="182" fontId="23" fillId="0" borderId="16" xfId="17" applyNumberFormat="1" applyFont="1" applyBorder="1" applyAlignment="1" applyProtection="1">
      <alignment horizontal="right"/>
      <protection hidden="1"/>
    </xf>
    <xf numFmtId="0" fontId="23" fillId="0" borderId="56" xfId="17" applyFont="1" applyBorder="1" applyAlignment="1" applyProtection="1">
      <alignment horizontal="right"/>
      <protection hidden="1"/>
    </xf>
    <xf numFmtId="0" fontId="23" fillId="0" borderId="57" xfId="17" applyFont="1" applyBorder="1" applyAlignment="1" applyProtection="1">
      <alignment horizontal="right"/>
      <protection hidden="1"/>
    </xf>
    <xf numFmtId="0" fontId="23" fillId="0" borderId="15" xfId="17" applyFont="1" applyBorder="1" applyAlignment="1" applyProtection="1">
      <alignment horizontal="right"/>
      <protection hidden="1"/>
    </xf>
    <xf numFmtId="0" fontId="23" fillId="0" borderId="16" xfId="17" applyFont="1" applyBorder="1" applyAlignment="1" applyProtection="1">
      <alignment horizontal="right"/>
      <protection hidden="1"/>
    </xf>
    <xf numFmtId="0" fontId="19" fillId="0" borderId="55" xfId="17" applyFont="1" applyBorder="1" applyAlignment="1">
      <alignment horizontal="left"/>
    </xf>
    <xf numFmtId="176" fontId="28" fillId="3" borderId="56" xfId="17" applyNumberFormat="1" applyFont="1" applyFill="1" applyBorder="1" applyProtection="1">
      <protection hidden="1"/>
    </xf>
    <xf numFmtId="14" fontId="17" fillId="0" borderId="0" xfId="23" applyNumberFormat="1" applyFont="1" applyBorder="1" applyAlignment="1">
      <alignment horizontal="right"/>
    </xf>
    <xf numFmtId="0" fontId="17" fillId="0" borderId="55" xfId="23" applyNumberFormat="1" applyFont="1" applyBorder="1"/>
    <xf numFmtId="175" fontId="23" fillId="2" borderId="56" xfId="23" applyNumberFormat="1" applyFont="1" applyFill="1" applyBorder="1" applyAlignment="1">
      <alignment horizontal="right" vertical="center"/>
    </xf>
    <xf numFmtId="178" fontId="23" fillId="2" borderId="56" xfId="23" applyNumberFormat="1" applyFont="1" applyFill="1" applyBorder="1" applyAlignment="1">
      <alignment horizontal="right" vertical="center"/>
    </xf>
    <xf numFmtId="169" fontId="30" fillId="0" borderId="0" xfId="9" applyNumberFormat="1" applyFont="1" applyFill="1" applyBorder="1"/>
    <xf numFmtId="169" fontId="30" fillId="0" borderId="0" xfId="9" applyNumberFormat="1" applyFont="1" applyBorder="1"/>
    <xf numFmtId="3" fontId="31" fillId="0" borderId="95" xfId="0" applyNumberFormat="1" applyFont="1" applyBorder="1"/>
    <xf numFmtId="0" fontId="31" fillId="0" borderId="96" xfId="0" applyFont="1" applyBorder="1" applyProtection="1">
      <protection locked="0"/>
    </xf>
    <xf numFmtId="0" fontId="31" fillId="0" borderId="127" xfId="0" applyFont="1" applyBorder="1" applyProtection="1">
      <protection locked="0"/>
    </xf>
    <xf numFmtId="3" fontId="31" fillId="0" borderId="104" xfId="0" applyNumberFormat="1" applyFont="1" applyBorder="1" applyProtection="1">
      <protection locked="0"/>
    </xf>
    <xf numFmtId="178" fontId="79" fillId="0" borderId="0" xfId="23" applyNumberFormat="1" applyFont="1" applyFill="1" applyBorder="1"/>
    <xf numFmtId="0" fontId="22" fillId="11" borderId="14" xfId="26" applyNumberFormat="1" applyFont="1" applyFill="1" applyBorder="1" applyAlignment="1">
      <alignment horizontal="left" vertical="center"/>
    </xf>
    <xf numFmtId="0" fontId="22" fillId="11" borderId="15" xfId="0" applyFont="1" applyFill="1" applyBorder="1" applyAlignment="1">
      <alignment horizontal="left" vertical="center"/>
    </xf>
    <xf numFmtId="37" fontId="31" fillId="11" borderId="15" xfId="0" applyNumberFormat="1" applyFont="1" applyFill="1" applyBorder="1" applyAlignment="1">
      <alignment horizontal="right" vertical="center"/>
    </xf>
    <xf numFmtId="37" fontId="22" fillId="11" borderId="15" xfId="0" applyNumberFormat="1" applyFont="1" applyFill="1" applyBorder="1" applyAlignment="1">
      <alignment horizontal="right" vertical="center"/>
    </xf>
    <xf numFmtId="0" fontId="17" fillId="0" borderId="20" xfId="26" applyNumberFormat="1" applyFont="1" applyBorder="1"/>
    <xf numFmtId="0" fontId="17" fillId="0" borderId="15" xfId="26" applyNumberFormat="1" applyFont="1" applyBorder="1"/>
    <xf numFmtId="0" fontId="17" fillId="0" borderId="15" xfId="26" applyNumberFormat="1" applyFont="1" applyBorder="1" applyAlignment="1">
      <alignment horizontal="center"/>
    </xf>
    <xf numFmtId="0" fontId="30" fillId="0" borderId="20" xfId="26" applyNumberFormat="1" applyFont="1" applyBorder="1"/>
    <xf numFmtId="0" fontId="17" fillId="0" borderId="0" xfId="26" applyNumberFormat="1" applyFont="1" applyBorder="1"/>
    <xf numFmtId="0" fontId="17" fillId="0" borderId="0" xfId="26" applyNumberFormat="1" applyFont="1" applyBorder="1" applyAlignment="1">
      <alignment horizontal="center"/>
    </xf>
    <xf numFmtId="0" fontId="27" fillId="0" borderId="20" xfId="26" applyNumberFormat="1" applyFont="1" applyBorder="1"/>
    <xf numFmtId="0" fontId="30" fillId="6" borderId="129" xfId="26" applyNumberFormat="1" applyFont="1" applyFill="1" applyBorder="1"/>
    <xf numFmtId="0" fontId="17" fillId="0" borderId="130" xfId="26" applyNumberFormat="1" applyFont="1" applyBorder="1"/>
    <xf numFmtId="0" fontId="17" fillId="0" borderId="56" xfId="26" applyNumberFormat="1" applyFont="1" applyBorder="1"/>
    <xf numFmtId="0" fontId="17" fillId="0" borderId="56" xfId="26" applyNumberFormat="1" applyFont="1" applyBorder="1" applyAlignment="1">
      <alignment horizontal="center"/>
    </xf>
    <xf numFmtId="3" fontId="76" fillId="0" borderId="56" xfId="0" applyNumberFormat="1" applyFont="1" applyBorder="1"/>
    <xf numFmtId="0" fontId="17" fillId="0" borderId="14" xfId="26" applyNumberFormat="1" applyFont="1" applyBorder="1"/>
    <xf numFmtId="3" fontId="76" fillId="0" borderId="15" xfId="0" applyNumberFormat="1" applyFont="1" applyBorder="1"/>
    <xf numFmtId="3" fontId="76" fillId="0" borderId="16" xfId="0" applyNumberFormat="1" applyFont="1" applyBorder="1"/>
    <xf numFmtId="3" fontId="76" fillId="0" borderId="21" xfId="0" applyNumberFormat="1" applyFont="1" applyBorder="1"/>
    <xf numFmtId="3" fontId="76" fillId="0" borderId="57" xfId="0" applyNumberFormat="1" applyFont="1" applyBorder="1"/>
    <xf numFmtId="0" fontId="57" fillId="0" borderId="20" xfId="26" applyNumberFormat="1" applyFont="1" applyBorder="1"/>
    <xf numFmtId="0" fontId="17" fillId="0" borderId="0" xfId="26" applyNumberFormat="1" applyFont="1" applyFill="1" applyBorder="1"/>
    <xf numFmtId="0" fontId="17" fillId="0" borderId="20" xfId="26" applyNumberFormat="1" applyFont="1" applyBorder="1" applyAlignment="1">
      <alignment horizontal="left"/>
    </xf>
    <xf numFmtId="0" fontId="30" fillId="6" borderId="131" xfId="26" applyNumberFormat="1" applyFont="1" applyFill="1" applyBorder="1"/>
    <xf numFmtId="175" fontId="28" fillId="0" borderId="0" xfId="26" applyNumberFormat="1" applyFont="1" applyFill="1" applyBorder="1" applyAlignment="1">
      <alignment horizontal="right"/>
    </xf>
    <xf numFmtId="169" fontId="27" fillId="0" borderId="0" xfId="9" applyNumberFormat="1" applyFont="1" applyFill="1" applyBorder="1"/>
    <xf numFmtId="169" fontId="30" fillId="6" borderId="131" xfId="9" applyNumberFormat="1" applyFont="1" applyFill="1" applyBorder="1"/>
    <xf numFmtId="178" fontId="31" fillId="11" borderId="15" xfId="0" applyNumberFormat="1" applyFont="1" applyFill="1" applyBorder="1" applyAlignment="1">
      <alignment horizontal="right" vertical="center"/>
    </xf>
    <xf numFmtId="178" fontId="22" fillId="11" borderId="15" xfId="0" applyNumberFormat="1" applyFont="1" applyFill="1" applyBorder="1" applyAlignment="1">
      <alignment horizontal="right" vertical="center"/>
    </xf>
    <xf numFmtId="0" fontId="17" fillId="0" borderId="20" xfId="0" applyFont="1" applyBorder="1"/>
    <xf numFmtId="0" fontId="57" fillId="0" borderId="14" xfId="26" applyNumberFormat="1" applyFont="1" applyBorder="1"/>
    <xf numFmtId="0" fontId="17" fillId="0" borderId="15" xfId="26" applyNumberFormat="1" applyFont="1" applyFill="1" applyBorder="1"/>
    <xf numFmtId="0" fontId="17" fillId="0" borderId="15" xfId="26" applyNumberFormat="1" applyFont="1" applyFill="1" applyBorder="1" applyAlignment="1">
      <alignment horizontal="center"/>
    </xf>
    <xf numFmtId="169" fontId="28" fillId="0" borderId="15" xfId="9" applyNumberFormat="1" applyFont="1" applyFill="1" applyBorder="1" applyAlignment="1">
      <alignment horizontal="right"/>
    </xf>
    <xf numFmtId="3" fontId="80" fillId="0" borderId="0" xfId="0" applyNumberFormat="1" applyFont="1"/>
    <xf numFmtId="3" fontId="81" fillId="0" borderId="0" xfId="0" applyNumberFormat="1" applyFont="1"/>
    <xf numFmtId="3" fontId="76" fillId="0" borderId="20" xfId="0" applyNumberFormat="1" applyFont="1" applyBorder="1"/>
    <xf numFmtId="169" fontId="76" fillId="0" borderId="0" xfId="9" applyNumberFormat="1" applyFont="1" applyBorder="1"/>
    <xf numFmtId="4" fontId="76" fillId="0" borderId="0" xfId="0" applyNumberFormat="1" applyFont="1"/>
    <xf numFmtId="169" fontId="80" fillId="0" borderId="0" xfId="9" applyNumberFormat="1" applyFont="1" applyBorder="1"/>
    <xf numFmtId="3" fontId="76" fillId="0" borderId="55" xfId="0" applyNumberFormat="1" applyFont="1" applyBorder="1"/>
    <xf numFmtId="3" fontId="26" fillId="0" borderId="0" xfId="0" applyNumberFormat="1" applyFont="1"/>
    <xf numFmtId="0" fontId="26" fillId="0" borderId="20" xfId="26" applyNumberFormat="1" applyFont="1" applyBorder="1"/>
    <xf numFmtId="0" fontId="17" fillId="0" borderId="55" xfId="26" applyNumberFormat="1" applyFont="1" applyBorder="1"/>
    <xf numFmtId="175" fontId="28" fillId="0" borderId="0" xfId="26" applyNumberFormat="1" applyFont="1" applyFill="1" applyBorder="1" applyAlignment="1">
      <alignment horizontal="left"/>
    </xf>
    <xf numFmtId="169" fontId="36" fillId="0" borderId="0" xfId="9" applyNumberFormat="1" applyFont="1" applyFill="1" applyBorder="1" applyProtection="1">
      <protection hidden="1"/>
    </xf>
    <xf numFmtId="176" fontId="32" fillId="0" borderId="0" xfId="17" applyNumberFormat="1" applyFont="1" applyProtection="1">
      <protection hidden="1"/>
    </xf>
    <xf numFmtId="169" fontId="36" fillId="0" borderId="0" xfId="18" applyNumberFormat="1" applyFont="1" applyFill="1" applyBorder="1" applyAlignment="1" applyProtection="1">
      <alignment horizontal="right"/>
      <protection hidden="1"/>
    </xf>
    <xf numFmtId="169" fontId="36" fillId="0" borderId="21" xfId="18" applyNumberFormat="1" applyFont="1" applyFill="1" applyBorder="1" applyAlignment="1" applyProtection="1">
      <alignment horizontal="right"/>
      <protection hidden="1"/>
    </xf>
    <xf numFmtId="176" fontId="32" fillId="0" borderId="21" xfId="17" applyNumberFormat="1" applyFont="1" applyBorder="1" applyProtection="1">
      <protection hidden="1"/>
    </xf>
    <xf numFmtId="3" fontId="30" fillId="6" borderId="131" xfId="26" applyNumberFormat="1" applyFont="1" applyFill="1" applyBorder="1"/>
    <xf numFmtId="169" fontId="27" fillId="6" borderId="131" xfId="9" applyNumberFormat="1" applyFont="1" applyFill="1" applyBorder="1"/>
    <xf numFmtId="169" fontId="76" fillId="0" borderId="0" xfId="9" applyNumberFormat="1" applyFont="1"/>
    <xf numFmtId="3" fontId="26" fillId="0" borderId="20" xfId="0" applyNumberFormat="1" applyFont="1" applyBorder="1"/>
    <xf numFmtId="0" fontId="57" fillId="0" borderId="55" xfId="26" applyNumberFormat="1" applyFont="1" applyBorder="1"/>
    <xf numFmtId="176" fontId="26" fillId="0" borderId="15" xfId="17" applyNumberFormat="1" applyFont="1" applyBorder="1" applyProtection="1">
      <protection hidden="1"/>
    </xf>
    <xf numFmtId="169" fontId="74" fillId="0" borderId="0" xfId="9" applyNumberFormat="1" applyFont="1" applyFill="1" applyBorder="1" applyProtection="1">
      <protection hidden="1"/>
    </xf>
    <xf numFmtId="176" fontId="17" fillId="0" borderId="0" xfId="17" applyNumberFormat="1" applyFont="1" applyProtection="1">
      <protection hidden="1"/>
    </xf>
    <xf numFmtId="176" fontId="26" fillId="0" borderId="0" xfId="17" applyNumberFormat="1" applyFont="1" applyProtection="1">
      <protection hidden="1"/>
    </xf>
    <xf numFmtId="169" fontId="74" fillId="0" borderId="0" xfId="18" applyNumberFormat="1" applyFont="1" applyFill="1" applyBorder="1" applyAlignment="1" applyProtection="1">
      <alignment horizontal="right"/>
      <protection hidden="1"/>
    </xf>
    <xf numFmtId="176" fontId="36" fillId="0" borderId="0" xfId="17" applyNumberFormat="1" applyFont="1" applyProtection="1">
      <protection hidden="1"/>
    </xf>
    <xf numFmtId="176" fontId="25" fillId="0" borderId="21" xfId="8" applyNumberFormat="1" applyFont="1" applyBorder="1" applyAlignment="1">
      <alignment horizontal="right" vertical="center" wrapText="1"/>
    </xf>
    <xf numFmtId="176" fontId="32" fillId="0" borderId="21" xfId="8" applyNumberFormat="1" applyFont="1" applyBorder="1" applyAlignment="1">
      <alignment horizontal="right" vertical="center" wrapText="1"/>
    </xf>
    <xf numFmtId="176" fontId="25" fillId="0" borderId="0" xfId="8" applyNumberFormat="1" applyFont="1" applyAlignment="1">
      <alignment horizontal="right" vertical="center" wrapText="1"/>
    </xf>
    <xf numFmtId="0" fontId="26" fillId="0" borderId="20" xfId="26" applyNumberFormat="1" applyFont="1" applyBorder="1" applyAlignment="1">
      <alignment horizontal="left"/>
    </xf>
    <xf numFmtId="178" fontId="28" fillId="0" borderId="15" xfId="26" applyNumberFormat="1" applyFont="1" applyBorder="1" applyAlignment="1">
      <alignment horizontal="right"/>
    </xf>
    <xf numFmtId="3" fontId="30" fillId="6" borderId="131" xfId="9" applyNumberFormat="1" applyFont="1" applyFill="1" applyBorder="1"/>
    <xf numFmtId="178" fontId="28" fillId="0" borderId="0" xfId="26" applyNumberFormat="1" applyFont="1" applyBorder="1" applyAlignment="1">
      <alignment horizontal="right"/>
    </xf>
    <xf numFmtId="178" fontId="17" fillId="0" borderId="132" xfId="26" applyNumberFormat="1" applyFont="1" applyBorder="1"/>
    <xf numFmtId="178" fontId="26" fillId="0" borderId="132" xfId="26" applyNumberFormat="1" applyFont="1" applyBorder="1"/>
    <xf numFmtId="3" fontId="17" fillId="6" borderId="131" xfId="9" applyNumberFormat="1" applyFont="1" applyFill="1" applyBorder="1"/>
    <xf numFmtId="0" fontId="76" fillId="0" borderId="0" xfId="0" applyFont="1"/>
    <xf numFmtId="8" fontId="76" fillId="0" borderId="0" xfId="0" applyNumberFormat="1" applyFont="1"/>
    <xf numFmtId="8" fontId="76" fillId="0" borderId="56" xfId="0" applyNumberFormat="1" applyFont="1" applyBorder="1"/>
    <xf numFmtId="0" fontId="76" fillId="0" borderId="20" xfId="0" applyFont="1" applyBorder="1"/>
    <xf numFmtId="0" fontId="76" fillId="0" borderId="56" xfId="0" applyFont="1" applyBorder="1"/>
    <xf numFmtId="0" fontId="76" fillId="0" borderId="15" xfId="0" applyFont="1" applyBorder="1"/>
    <xf numFmtId="0" fontId="76" fillId="0" borderId="16" xfId="0" applyFont="1" applyBorder="1"/>
    <xf numFmtId="0" fontId="76" fillId="0" borderId="21" xfId="0" applyFont="1" applyBorder="1"/>
    <xf numFmtId="0" fontId="80" fillId="0" borderId="0" xfId="0" applyFont="1"/>
    <xf numFmtId="0" fontId="82" fillId="0" borderId="0" xfId="0" applyFont="1"/>
    <xf numFmtId="0" fontId="26" fillId="0" borderId="20" xfId="0" applyFont="1" applyBorder="1"/>
    <xf numFmtId="0" fontId="76" fillId="0" borderId="55" xfId="0" applyFont="1" applyBorder="1"/>
    <xf numFmtId="0" fontId="76" fillId="0" borderId="57" xfId="0" applyFont="1" applyBorder="1"/>
    <xf numFmtId="166" fontId="76" fillId="0" borderId="56" xfId="0" applyNumberFormat="1" applyFont="1" applyBorder="1"/>
    <xf numFmtId="166" fontId="76" fillId="0" borderId="0" xfId="0" applyNumberFormat="1" applyFont="1"/>
    <xf numFmtId="3" fontId="26" fillId="0" borderId="56" xfId="0" applyNumberFormat="1" applyFont="1" applyBorder="1"/>
    <xf numFmtId="0" fontId="17" fillId="3" borderId="0" xfId="1" applyFont="1" applyFill="1" applyProtection="1">
      <protection hidden="1"/>
    </xf>
    <xf numFmtId="0" fontId="26" fillId="3" borderId="0" xfId="1" applyFont="1" applyFill="1" applyProtection="1">
      <protection hidden="1"/>
    </xf>
    <xf numFmtId="169" fontId="74" fillId="0" borderId="21" xfId="9" applyNumberFormat="1" applyFont="1" applyFill="1" applyBorder="1" applyProtection="1">
      <protection hidden="1"/>
    </xf>
    <xf numFmtId="176" fontId="17" fillId="0" borderId="21" xfId="17" applyNumberFormat="1" applyFont="1" applyBorder="1" applyProtection="1">
      <protection hidden="1"/>
    </xf>
    <xf numFmtId="176" fontId="26" fillId="0" borderId="21" xfId="17" applyNumberFormat="1" applyFont="1" applyBorder="1" applyProtection="1">
      <protection hidden="1"/>
    </xf>
    <xf numFmtId="169" fontId="74" fillId="0" borderId="21" xfId="18" applyNumberFormat="1" applyFont="1" applyFill="1" applyBorder="1" applyAlignment="1" applyProtection="1">
      <alignment horizontal="right"/>
      <protection hidden="1"/>
    </xf>
    <xf numFmtId="176" fontId="17" fillId="0" borderId="56" xfId="17" applyNumberFormat="1" applyFont="1" applyBorder="1" applyProtection="1">
      <protection hidden="1"/>
    </xf>
    <xf numFmtId="176" fontId="17" fillId="0" borderId="57" xfId="17" applyNumberFormat="1" applyFont="1" applyBorder="1" applyProtection="1">
      <protection hidden="1"/>
    </xf>
    <xf numFmtId="176" fontId="17" fillId="0" borderId="18" xfId="17" applyNumberFormat="1" applyFont="1" applyBorder="1" applyProtection="1">
      <protection hidden="1"/>
    </xf>
    <xf numFmtId="176" fontId="26" fillId="0" borderId="23" xfId="17" applyNumberFormat="1" applyFont="1" applyBorder="1" applyProtection="1">
      <protection hidden="1"/>
    </xf>
    <xf numFmtId="176" fontId="26" fillId="0" borderId="24" xfId="17" applyNumberFormat="1" applyFont="1" applyBorder="1" applyProtection="1">
      <protection hidden="1"/>
    </xf>
    <xf numFmtId="176" fontId="26" fillId="0" borderId="15" xfId="8" applyNumberFormat="1" applyFont="1" applyBorder="1" applyAlignment="1">
      <alignment horizontal="right" vertical="center"/>
    </xf>
    <xf numFmtId="176" fontId="26" fillId="0" borderId="16" xfId="8" applyNumberFormat="1" applyFont="1" applyBorder="1" applyAlignment="1">
      <alignment horizontal="right" vertical="center"/>
    </xf>
    <xf numFmtId="176" fontId="17" fillId="0" borderId="21" xfId="8" applyNumberFormat="1" applyFont="1" applyBorder="1" applyAlignment="1">
      <alignment horizontal="right" vertical="center"/>
    </xf>
    <xf numFmtId="176" fontId="26" fillId="0" borderId="21" xfId="8" applyNumberFormat="1" applyFont="1" applyBorder="1" applyAlignment="1">
      <alignment horizontal="right" vertical="center"/>
    </xf>
    <xf numFmtId="176" fontId="17" fillId="0" borderId="21" xfId="8" applyNumberFormat="1" applyFont="1" applyBorder="1" applyAlignment="1">
      <alignment horizontal="right" vertical="center" wrapText="1"/>
    </xf>
    <xf numFmtId="176" fontId="26" fillId="0" borderId="15" xfId="8" applyNumberFormat="1" applyFont="1" applyBorder="1" applyAlignment="1">
      <alignment horizontal="right" vertical="center" wrapText="1"/>
    </xf>
    <xf numFmtId="176" fontId="26" fillId="0" borderId="16" xfId="8" applyNumberFormat="1" applyFont="1" applyBorder="1" applyAlignment="1">
      <alignment horizontal="right" vertical="center" wrapText="1"/>
    </xf>
    <xf numFmtId="176" fontId="26" fillId="0" borderId="15" xfId="24" applyNumberFormat="1" applyFont="1" applyBorder="1" applyAlignment="1">
      <alignment horizontal="right" vertical="center"/>
    </xf>
    <xf numFmtId="176" fontId="26" fillId="0" borderId="16" xfId="24" applyNumberFormat="1" applyFont="1" applyBorder="1" applyAlignment="1">
      <alignment horizontal="right" vertical="center"/>
    </xf>
    <xf numFmtId="176" fontId="17" fillId="0" borderId="26" xfId="8" applyNumberFormat="1" applyFont="1" applyBorder="1" applyAlignment="1">
      <alignment horizontal="right" vertical="center" wrapText="1"/>
    </xf>
    <xf numFmtId="176" fontId="17" fillId="0" borderId="27" xfId="8" applyNumberFormat="1" applyFont="1" applyBorder="1" applyAlignment="1">
      <alignment horizontal="right" vertical="center" wrapText="1"/>
    </xf>
    <xf numFmtId="0" fontId="26" fillId="0" borderId="15" xfId="0" applyFont="1" applyBorder="1"/>
    <xf numFmtId="3" fontId="82" fillId="0" borderId="0" xfId="0" applyNumberFormat="1" applyFont="1"/>
    <xf numFmtId="3" fontId="83" fillId="0" borderId="20" xfId="0" applyNumberFormat="1" applyFont="1" applyBorder="1"/>
    <xf numFmtId="3" fontId="17" fillId="0" borderId="20" xfId="0" applyNumberFormat="1" applyFont="1" applyBorder="1"/>
    <xf numFmtId="3" fontId="84" fillId="0" borderId="0" xfId="0" applyNumberFormat="1" applyFont="1"/>
    <xf numFmtId="3" fontId="26" fillId="0" borderId="55" xfId="0" applyNumberFormat="1" applyFont="1" applyBorder="1"/>
    <xf numFmtId="166" fontId="80" fillId="0" borderId="0" xfId="0" applyNumberFormat="1" applyFont="1"/>
    <xf numFmtId="0" fontId="17" fillId="0" borderId="133" xfId="23" applyNumberFormat="1" applyFont="1" applyBorder="1"/>
    <xf numFmtId="0" fontId="60" fillId="11" borderId="0" xfId="23" applyNumberFormat="1" applyFont="1" applyFill="1"/>
    <xf numFmtId="175" fontId="17" fillId="0" borderId="133" xfId="23" applyNumberFormat="1" applyFont="1" applyBorder="1"/>
    <xf numFmtId="169" fontId="84" fillId="0" borderId="0" xfId="9" applyNumberFormat="1" applyFont="1" applyBorder="1"/>
    <xf numFmtId="3" fontId="80" fillId="0" borderId="21" xfId="0" applyNumberFormat="1" applyFont="1" applyBorder="1"/>
    <xf numFmtId="184" fontId="26" fillId="0" borderId="26" xfId="23" applyNumberFormat="1" applyFont="1" applyBorder="1"/>
    <xf numFmtId="175" fontId="26" fillId="0" borderId="26" xfId="23" applyNumberFormat="1" applyFont="1" applyBorder="1"/>
    <xf numFmtId="180" fontId="17" fillId="0" borderId="0" xfId="23" applyNumberFormat="1" applyFont="1" applyBorder="1" applyAlignment="1">
      <alignment horizontal="center"/>
    </xf>
    <xf numFmtId="8" fontId="76" fillId="0" borderId="21" xfId="0" applyNumberFormat="1" applyFont="1" applyBorder="1"/>
    <xf numFmtId="0" fontId="26" fillId="0" borderId="17" xfId="0" applyFont="1" applyBorder="1" applyAlignment="1">
      <alignment horizontal="center"/>
    </xf>
    <xf numFmtId="0" fontId="26" fillId="0" borderId="18" xfId="0" applyFont="1" applyBorder="1" applyAlignment="1">
      <alignment horizontal="center"/>
    </xf>
    <xf numFmtId="175" fontId="26" fillId="0" borderId="26" xfId="23" applyNumberFormat="1" applyFont="1" applyBorder="1" applyAlignment="1">
      <alignment horizontal="center"/>
    </xf>
    <xf numFmtId="175" fontId="26" fillId="0" borderId="26" xfId="23" applyNumberFormat="1" applyFont="1" applyBorder="1" applyAlignment="1">
      <alignment horizontal="right"/>
    </xf>
    <xf numFmtId="0" fontId="22" fillId="12" borderId="0" xfId="17" applyFont="1" applyFill="1" applyAlignment="1" applyProtection="1">
      <alignment horizontal="center" vertical="center"/>
      <protection hidden="1"/>
    </xf>
    <xf numFmtId="166" fontId="58" fillId="0" borderId="0" xfId="17" applyNumberFormat="1" applyFont="1" applyAlignment="1" applyProtection="1">
      <alignment horizontal="right"/>
      <protection hidden="1"/>
    </xf>
    <xf numFmtId="0" fontId="22" fillId="12" borderId="0" xfId="24" applyFont="1" applyFill="1" applyAlignment="1">
      <alignment horizontal="left" vertical="center"/>
    </xf>
    <xf numFmtId="176" fontId="26" fillId="0" borderId="0" xfId="8" applyNumberFormat="1" applyFont="1" applyAlignment="1">
      <alignment horizontal="right" vertical="center"/>
    </xf>
    <xf numFmtId="176" fontId="17" fillId="0" borderId="0" xfId="8" applyNumberFormat="1" applyFont="1" applyAlignment="1">
      <alignment horizontal="right" vertical="center"/>
    </xf>
    <xf numFmtId="176" fontId="17" fillId="0" borderId="0" xfId="8" applyNumberFormat="1" applyFont="1" applyAlignment="1">
      <alignment horizontal="right" vertical="center" wrapText="1"/>
    </xf>
    <xf numFmtId="176" fontId="32" fillId="0" borderId="0" xfId="8" applyNumberFormat="1" applyFont="1" applyAlignment="1">
      <alignment horizontal="right" vertical="center" wrapText="1"/>
    </xf>
    <xf numFmtId="37" fontId="22" fillId="3" borderId="0" xfId="0" applyNumberFormat="1" applyFont="1" applyFill="1" applyAlignment="1">
      <alignment horizontal="right" vertical="center"/>
    </xf>
    <xf numFmtId="3" fontId="76" fillId="3" borderId="0" xfId="0" applyNumberFormat="1" applyFont="1" applyFill="1"/>
    <xf numFmtId="178" fontId="22" fillId="11" borderId="0" xfId="6" applyNumberFormat="1" applyFont="1" applyFill="1" applyAlignment="1">
      <alignment horizontal="right" vertical="center"/>
    </xf>
    <xf numFmtId="176" fontId="26" fillId="0" borderId="56" xfId="17" applyNumberFormat="1" applyFont="1" applyBorder="1" applyProtection="1">
      <protection hidden="1"/>
    </xf>
    <xf numFmtId="0" fontId="28" fillId="3" borderId="15" xfId="1" applyFont="1" applyFill="1" applyBorder="1" applyProtection="1">
      <protection hidden="1"/>
    </xf>
    <xf numFmtId="0" fontId="28" fillId="0" borderId="15" xfId="1" applyFont="1" applyBorder="1" applyProtection="1">
      <protection hidden="1"/>
    </xf>
    <xf numFmtId="176" fontId="26" fillId="0" borderId="18" xfId="17" applyNumberFormat="1" applyFont="1" applyBorder="1" applyProtection="1">
      <protection hidden="1"/>
    </xf>
    <xf numFmtId="176" fontId="26" fillId="0" borderId="19" xfId="17" applyNumberFormat="1" applyFont="1" applyBorder="1" applyProtection="1">
      <protection hidden="1"/>
    </xf>
    <xf numFmtId="166" fontId="26" fillId="0" borderId="56" xfId="17" applyNumberFormat="1" applyFont="1" applyBorder="1" applyProtection="1">
      <protection hidden="1"/>
    </xf>
    <xf numFmtId="166" fontId="26" fillId="0" borderId="57" xfId="17" applyNumberFormat="1" applyFont="1" applyBorder="1" applyProtection="1">
      <protection hidden="1"/>
    </xf>
    <xf numFmtId="166" fontId="80" fillId="0" borderId="56" xfId="0" applyNumberFormat="1" applyFont="1" applyBorder="1"/>
    <xf numFmtId="166" fontId="26" fillId="0" borderId="0" xfId="0" applyNumberFormat="1" applyFont="1"/>
    <xf numFmtId="185" fontId="76" fillId="0" borderId="0" xfId="9" applyNumberFormat="1" applyFont="1" applyBorder="1"/>
    <xf numFmtId="169" fontId="76" fillId="0" borderId="21" xfId="9" applyNumberFormat="1" applyFont="1" applyBorder="1"/>
    <xf numFmtId="4" fontId="76" fillId="0" borderId="21" xfId="0" applyNumberFormat="1" applyFont="1" applyBorder="1"/>
    <xf numFmtId="169" fontId="84" fillId="0" borderId="21" xfId="9" applyNumberFormat="1" applyFont="1" applyBorder="1"/>
    <xf numFmtId="3" fontId="26" fillId="0" borderId="21" xfId="0" applyNumberFormat="1" applyFont="1" applyBorder="1"/>
    <xf numFmtId="166" fontId="58" fillId="0" borderId="21" xfId="17" applyNumberFormat="1" applyFont="1" applyBorder="1" applyAlignment="1" applyProtection="1">
      <alignment horizontal="right"/>
      <protection hidden="1"/>
    </xf>
    <xf numFmtId="166" fontId="58" fillId="3" borderId="0" xfId="17" applyNumberFormat="1" applyFont="1" applyFill="1" applyAlignment="1" applyProtection="1">
      <alignment horizontal="right"/>
      <protection hidden="1"/>
    </xf>
    <xf numFmtId="176" fontId="26" fillId="0" borderId="26" xfId="17" applyNumberFormat="1" applyFont="1" applyBorder="1" applyProtection="1">
      <protection hidden="1"/>
    </xf>
    <xf numFmtId="176" fontId="26" fillId="0" borderId="27" xfId="17" applyNumberFormat="1" applyFont="1" applyBorder="1" applyProtection="1">
      <protection hidden="1"/>
    </xf>
    <xf numFmtId="0" fontId="31" fillId="2" borderId="50" xfId="17" applyFont="1" applyFill="1" applyBorder="1" applyProtection="1">
      <protection hidden="1"/>
    </xf>
    <xf numFmtId="176" fontId="23" fillId="2" borderId="13" xfId="17" applyNumberFormat="1" applyFont="1" applyFill="1" applyBorder="1" applyProtection="1">
      <protection hidden="1"/>
    </xf>
    <xf numFmtId="176" fontId="26" fillId="0" borderId="13" xfId="17" applyNumberFormat="1" applyFont="1" applyBorder="1" applyProtection="1">
      <protection hidden="1"/>
    </xf>
    <xf numFmtId="0" fontId="57" fillId="0" borderId="14" xfId="17" applyFont="1" applyBorder="1"/>
    <xf numFmtId="176" fontId="32" fillId="0" borderId="15" xfId="17" applyNumberFormat="1" applyFont="1" applyBorder="1" applyProtection="1">
      <protection hidden="1"/>
    </xf>
    <xf numFmtId="176" fontId="32" fillId="0" borderId="16" xfId="17" applyNumberFormat="1" applyFont="1" applyBorder="1" applyProtection="1">
      <protection hidden="1"/>
    </xf>
    <xf numFmtId="3" fontId="28" fillId="2" borderId="55" xfId="8" applyNumberFormat="1" applyFont="1" applyFill="1" applyBorder="1" applyAlignment="1">
      <alignment horizontal="left" vertical="center" wrapText="1"/>
    </xf>
    <xf numFmtId="176" fontId="28" fillId="2" borderId="56" xfId="8" applyNumberFormat="1" applyFont="1" applyFill="1" applyBorder="1" applyAlignment="1">
      <alignment horizontal="right" vertical="center" wrapText="1"/>
    </xf>
    <xf numFmtId="176" fontId="17" fillId="0" borderId="56" xfId="8" applyNumberFormat="1" applyFont="1" applyBorder="1" applyAlignment="1">
      <alignment horizontal="right" vertical="center" wrapText="1"/>
    </xf>
    <xf numFmtId="176" fontId="17" fillId="0" borderId="57" xfId="8" applyNumberFormat="1" applyFont="1" applyBorder="1" applyAlignment="1">
      <alignment horizontal="right" vertical="center" wrapText="1"/>
    </xf>
    <xf numFmtId="0" fontId="23" fillId="2" borderId="17" xfId="24" applyFont="1" applyFill="1" applyBorder="1" applyAlignment="1">
      <alignment horizontal="left" vertical="center"/>
    </xf>
    <xf numFmtId="176" fontId="23" fillId="2" borderId="18" xfId="24" applyNumberFormat="1" applyFont="1" applyFill="1" applyBorder="1" applyAlignment="1">
      <alignment horizontal="right" vertical="center"/>
    </xf>
    <xf numFmtId="176" fontId="26" fillId="0" borderId="19" xfId="24" applyNumberFormat="1" applyFont="1" applyBorder="1" applyAlignment="1">
      <alignment horizontal="right" vertical="center"/>
    </xf>
    <xf numFmtId="0" fontId="28" fillId="2" borderId="14" xfId="23" applyNumberFormat="1" applyFont="1" applyFill="1" applyBorder="1" applyAlignment="1">
      <alignment horizontal="left" vertical="center"/>
    </xf>
    <xf numFmtId="175" fontId="17" fillId="0" borderId="15" xfId="23" applyNumberFormat="1" applyFont="1" applyBorder="1"/>
    <xf numFmtId="14" fontId="17" fillId="0" borderId="15" xfId="23" applyNumberFormat="1" applyFont="1" applyBorder="1" applyAlignment="1">
      <alignment horizontal="right"/>
    </xf>
    <xf numFmtId="0" fontId="28" fillId="2" borderId="55" xfId="23" quotePrefix="1" applyNumberFormat="1" applyFont="1" applyFill="1" applyBorder="1" applyAlignment="1">
      <alignment horizontal="left" vertical="center"/>
    </xf>
    <xf numFmtId="175" fontId="28" fillId="2" borderId="56" xfId="23" applyNumberFormat="1" applyFont="1" applyFill="1" applyBorder="1" applyAlignment="1">
      <alignment horizontal="right" vertical="center"/>
    </xf>
    <xf numFmtId="178" fontId="28" fillId="2" borderId="56" xfId="23" applyNumberFormat="1" applyFont="1" applyFill="1" applyBorder="1" applyAlignment="1">
      <alignment horizontal="right" vertical="center"/>
    </xf>
    <xf numFmtId="0" fontId="26" fillId="0" borderId="56" xfId="0" applyFont="1" applyBorder="1"/>
    <xf numFmtId="8" fontId="76" fillId="0" borderId="57" xfId="0" applyNumberFormat="1" applyFont="1" applyBorder="1"/>
    <xf numFmtId="0" fontId="25" fillId="2" borderId="20" xfId="23" quotePrefix="1" applyNumberFormat="1" applyFont="1" applyFill="1" applyBorder="1" applyAlignment="1">
      <alignment horizontal="left" vertical="center"/>
    </xf>
    <xf numFmtId="0" fontId="28" fillId="2" borderId="20" xfId="26" applyNumberFormat="1" applyFont="1" applyFill="1" applyBorder="1" applyAlignment="1">
      <alignment horizontal="left" vertical="center"/>
    </xf>
    <xf numFmtId="181" fontId="17" fillId="0" borderId="0" xfId="23" applyNumberFormat="1" applyFont="1" applyBorder="1" applyAlignment="1">
      <alignment horizontal="right"/>
    </xf>
    <xf numFmtId="10" fontId="17" fillId="0" borderId="16" xfId="7" applyNumberFormat="1" applyFont="1" applyBorder="1" applyAlignment="1">
      <alignment horizontal="right"/>
    </xf>
    <xf numFmtId="181" fontId="17" fillId="0" borderId="21" xfId="23" applyNumberFormat="1" applyFont="1" applyBorder="1" applyAlignment="1">
      <alignment horizontal="right"/>
    </xf>
    <xf numFmtId="3" fontId="82" fillId="0" borderId="56" xfId="0" applyNumberFormat="1" applyFont="1" applyBorder="1"/>
    <xf numFmtId="182" fontId="23" fillId="0" borderId="14" xfId="17" applyNumberFormat="1" applyFont="1" applyBorder="1" applyAlignment="1" applyProtection="1">
      <alignment horizontal="right"/>
      <protection hidden="1"/>
    </xf>
    <xf numFmtId="0" fontId="28" fillId="0" borderId="0" xfId="17" applyFont="1" applyAlignment="1" applyProtection="1">
      <alignment horizontal="right"/>
      <protection hidden="1"/>
    </xf>
    <xf numFmtId="0" fontId="28" fillId="0" borderId="20" xfId="17" applyFont="1" applyBorder="1" applyAlignment="1" applyProtection="1">
      <alignment horizontal="right"/>
      <protection hidden="1"/>
    </xf>
    <xf numFmtId="0" fontId="28" fillId="0" borderId="21" xfId="17" applyFont="1" applyBorder="1" applyAlignment="1" applyProtection="1">
      <alignment horizontal="right"/>
      <protection hidden="1"/>
    </xf>
    <xf numFmtId="9" fontId="28" fillId="0" borderId="14" xfId="7" applyFont="1" applyFill="1" applyBorder="1" applyAlignment="1" applyProtection="1">
      <alignment horizontal="right"/>
      <protection hidden="1"/>
    </xf>
    <xf numFmtId="169" fontId="28" fillId="0" borderId="0" xfId="7" applyNumberFormat="1" applyFont="1" applyFill="1" applyBorder="1" applyAlignment="1" applyProtection="1">
      <alignment horizontal="right"/>
      <protection hidden="1"/>
    </xf>
    <xf numFmtId="169" fontId="28" fillId="0" borderId="21" xfId="7" applyNumberFormat="1" applyFont="1" applyFill="1" applyBorder="1" applyAlignment="1" applyProtection="1">
      <alignment horizontal="right"/>
      <protection hidden="1"/>
    </xf>
    <xf numFmtId="0" fontId="28" fillId="0" borderId="55" xfId="17" applyFont="1" applyBorder="1" applyAlignment="1" applyProtection="1">
      <alignment horizontal="right"/>
      <protection hidden="1"/>
    </xf>
    <xf numFmtId="169" fontId="28" fillId="0" borderId="56" xfId="7" applyNumberFormat="1" applyFont="1" applyFill="1" applyBorder="1" applyAlignment="1" applyProtection="1">
      <alignment horizontal="right"/>
      <protection hidden="1"/>
    </xf>
    <xf numFmtId="169" fontId="28" fillId="0" borderId="57" xfId="7" applyNumberFormat="1" applyFont="1" applyFill="1" applyBorder="1" applyAlignment="1" applyProtection="1">
      <alignment horizontal="right"/>
      <protection hidden="1"/>
    </xf>
    <xf numFmtId="176" fontId="31" fillId="0" borderId="20" xfId="17" applyNumberFormat="1" applyFont="1" applyBorder="1" applyAlignment="1" applyProtection="1">
      <alignment horizontal="right"/>
      <protection hidden="1"/>
    </xf>
    <xf numFmtId="169" fontId="31" fillId="0" borderId="0" xfId="7" applyNumberFormat="1" applyFont="1" applyFill="1" applyBorder="1" applyAlignment="1" applyProtection="1">
      <alignment horizontal="right"/>
      <protection hidden="1"/>
    </xf>
    <xf numFmtId="169" fontId="31" fillId="0" borderId="21" xfId="7" applyNumberFormat="1" applyFont="1" applyFill="1" applyBorder="1" applyAlignment="1" applyProtection="1">
      <alignment horizontal="right"/>
      <protection hidden="1"/>
    </xf>
    <xf numFmtId="176" fontId="34" fillId="0" borderId="20" xfId="17" applyNumberFormat="1" applyFont="1" applyBorder="1" applyAlignment="1" applyProtection="1">
      <alignment horizontal="right"/>
      <protection hidden="1"/>
    </xf>
    <xf numFmtId="176" fontId="28" fillId="0" borderId="20" xfId="17" applyNumberFormat="1" applyFont="1" applyBorder="1" applyAlignment="1" applyProtection="1">
      <alignment horizontal="right"/>
      <protection hidden="1"/>
    </xf>
    <xf numFmtId="176" fontId="31" fillId="0" borderId="14" xfId="17" applyNumberFormat="1" applyFont="1" applyBorder="1" applyAlignment="1" applyProtection="1">
      <alignment horizontal="right"/>
      <protection hidden="1"/>
    </xf>
    <xf numFmtId="176" fontId="23" fillId="0" borderId="41" xfId="17" applyNumberFormat="1" applyFont="1" applyBorder="1" applyAlignment="1" applyProtection="1">
      <alignment horizontal="right"/>
      <protection hidden="1"/>
    </xf>
    <xf numFmtId="9" fontId="17" fillId="0" borderId="55" xfId="7" applyFont="1" applyFill="1" applyBorder="1" applyAlignment="1" applyProtection="1">
      <alignment horizontal="right"/>
      <protection hidden="1"/>
    </xf>
    <xf numFmtId="9" fontId="17" fillId="0" borderId="56" xfId="7" applyFont="1" applyFill="1" applyBorder="1" applyAlignment="1" applyProtection="1">
      <alignment horizontal="right"/>
      <protection hidden="1"/>
    </xf>
    <xf numFmtId="9" fontId="17" fillId="0" borderId="57" xfId="7" applyFont="1" applyFill="1" applyBorder="1" applyAlignment="1" applyProtection="1">
      <alignment horizontal="right"/>
      <protection hidden="1"/>
    </xf>
    <xf numFmtId="176" fontId="28" fillId="0" borderId="17" xfId="17" applyNumberFormat="1" applyFont="1" applyBorder="1" applyAlignment="1" applyProtection="1">
      <alignment horizontal="right"/>
      <protection hidden="1"/>
    </xf>
    <xf numFmtId="176" fontId="31" fillId="0" borderId="22" xfId="17" applyNumberFormat="1" applyFont="1" applyBorder="1" applyAlignment="1" applyProtection="1">
      <alignment horizontal="right"/>
      <protection hidden="1"/>
    </xf>
    <xf numFmtId="9" fontId="23" fillId="0" borderId="55" xfId="7" applyFont="1" applyFill="1" applyBorder="1" applyAlignment="1" applyProtection="1">
      <alignment horizontal="right"/>
      <protection hidden="1"/>
    </xf>
    <xf numFmtId="9" fontId="23" fillId="0" borderId="56" xfId="7" applyFont="1" applyFill="1" applyBorder="1" applyAlignment="1" applyProtection="1">
      <alignment horizontal="right"/>
      <protection hidden="1"/>
    </xf>
    <xf numFmtId="9" fontId="23" fillId="0" borderId="57" xfId="7" applyFont="1" applyFill="1" applyBorder="1" applyAlignment="1" applyProtection="1">
      <alignment horizontal="right"/>
      <protection hidden="1"/>
    </xf>
    <xf numFmtId="176" fontId="23" fillId="0" borderId="20" xfId="17" applyNumberFormat="1" applyFont="1" applyBorder="1" applyAlignment="1" applyProtection="1">
      <alignment horizontal="right"/>
      <protection hidden="1"/>
    </xf>
    <xf numFmtId="9" fontId="23" fillId="0" borderId="0" xfId="7" applyFont="1" applyFill="1" applyBorder="1" applyAlignment="1" applyProtection="1">
      <alignment horizontal="right"/>
      <protection hidden="1"/>
    </xf>
    <xf numFmtId="9" fontId="23" fillId="0" borderId="21" xfId="7" applyFont="1" applyFill="1" applyBorder="1" applyAlignment="1" applyProtection="1">
      <alignment horizontal="right"/>
      <protection hidden="1"/>
    </xf>
    <xf numFmtId="9" fontId="23" fillId="0" borderId="25" xfId="7" applyFont="1" applyFill="1" applyBorder="1" applyAlignment="1" applyProtection="1">
      <alignment horizontal="right"/>
      <protection hidden="1"/>
    </xf>
    <xf numFmtId="9" fontId="23" fillId="0" borderId="26" xfId="7" applyFont="1" applyFill="1" applyBorder="1" applyAlignment="1" applyProtection="1">
      <alignment horizontal="right"/>
      <protection hidden="1"/>
    </xf>
    <xf numFmtId="9" fontId="23" fillId="0" borderId="27" xfId="7" applyFont="1" applyFill="1" applyBorder="1" applyAlignment="1" applyProtection="1">
      <alignment horizontal="right"/>
      <protection hidden="1"/>
    </xf>
    <xf numFmtId="176" fontId="23" fillId="0" borderId="22" xfId="17" applyNumberFormat="1" applyFont="1" applyBorder="1" applyAlignment="1" applyProtection="1">
      <alignment horizontal="right"/>
      <protection hidden="1"/>
    </xf>
    <xf numFmtId="9" fontId="23" fillId="0" borderId="23" xfId="7" applyFont="1" applyFill="1" applyBorder="1" applyAlignment="1" applyProtection="1">
      <alignment horizontal="right"/>
      <protection hidden="1"/>
    </xf>
    <xf numFmtId="9" fontId="23" fillId="0" borderId="24" xfId="7" applyFont="1" applyFill="1" applyBorder="1" applyAlignment="1" applyProtection="1">
      <alignment horizontal="right"/>
      <protection hidden="1"/>
    </xf>
    <xf numFmtId="9" fontId="28" fillId="5" borderId="0" xfId="7" applyFont="1" applyFill="1" applyBorder="1" applyAlignment="1" applyProtection="1">
      <alignment horizontal="right"/>
      <protection hidden="1"/>
    </xf>
    <xf numFmtId="10" fontId="28" fillId="0" borderId="86" xfId="9" applyNumberFormat="1" applyFont="1" applyBorder="1" applyAlignment="1" applyProtection="1">
      <alignment horizontal="center"/>
    </xf>
    <xf numFmtId="176" fontId="31" fillId="3" borderId="56" xfId="17" applyNumberFormat="1" applyFont="1" applyFill="1" applyBorder="1" applyProtection="1">
      <protection hidden="1"/>
    </xf>
    <xf numFmtId="183" fontId="28" fillId="7" borderId="84" xfId="0" applyNumberFormat="1" applyFont="1" applyFill="1" applyBorder="1" applyProtection="1">
      <protection locked="0"/>
    </xf>
    <xf numFmtId="0" fontId="16" fillId="0" borderId="20" xfId="26" applyNumberFormat="1" applyFont="1" applyBorder="1" applyAlignment="1">
      <alignment horizontal="left"/>
    </xf>
    <xf numFmtId="3" fontId="76" fillId="0" borderId="0" xfId="0" applyNumberFormat="1" applyFont="1" applyAlignment="1">
      <alignment horizontal="right"/>
    </xf>
    <xf numFmtId="3" fontId="76" fillId="0" borderId="133" xfId="0" applyNumberFormat="1" applyFont="1" applyBorder="1"/>
    <xf numFmtId="165" fontId="84" fillId="0" borderId="0" xfId="0" applyNumberFormat="1" applyFont="1"/>
    <xf numFmtId="3" fontId="82" fillId="0" borderId="0" xfId="0" applyNumberFormat="1" applyFont="1" applyAlignment="1">
      <alignment horizontal="right"/>
    </xf>
    <xf numFmtId="0" fontId="16" fillId="0" borderId="0" xfId="26" applyNumberFormat="1" applyFont="1" applyBorder="1"/>
    <xf numFmtId="0" fontId="16" fillId="0" borderId="0" xfId="26" applyNumberFormat="1" applyFont="1" applyBorder="1" applyAlignment="1">
      <alignment horizontal="center"/>
    </xf>
    <xf numFmtId="178" fontId="28" fillId="0" borderId="0" xfId="9" applyNumberFormat="1" applyFont="1" applyFill="1" applyBorder="1" applyAlignment="1">
      <alignment horizontal="right"/>
    </xf>
    <xf numFmtId="178" fontId="30" fillId="0" borderId="0" xfId="9" applyNumberFormat="1" applyFont="1" applyFill="1" applyBorder="1"/>
    <xf numFmtId="178" fontId="16" fillId="0" borderId="0" xfId="9" applyNumberFormat="1" applyFont="1" applyFill="1" applyBorder="1"/>
    <xf numFmtId="0" fontId="22" fillId="11" borderId="18" xfId="0" applyFont="1" applyFill="1" applyBorder="1" applyAlignment="1">
      <alignment horizontal="left" vertical="center"/>
    </xf>
    <xf numFmtId="37" fontId="31" fillId="11" borderId="18" xfId="0" applyNumberFormat="1" applyFont="1" applyFill="1" applyBorder="1" applyAlignment="1">
      <alignment horizontal="right" vertical="center"/>
    </xf>
    <xf numFmtId="37" fontId="22" fillId="11" borderId="18" xfId="0" applyNumberFormat="1" applyFont="1" applyFill="1" applyBorder="1" applyAlignment="1">
      <alignment horizontal="right" vertical="center"/>
    </xf>
    <xf numFmtId="0" fontId="22" fillId="11" borderId="17" xfId="26" applyNumberFormat="1" applyFont="1" applyFill="1" applyBorder="1" applyAlignment="1">
      <alignment horizontal="left" vertical="center"/>
    </xf>
    <xf numFmtId="178" fontId="26" fillId="0" borderId="0" xfId="9" applyNumberFormat="1" applyFont="1" applyFill="1" applyBorder="1"/>
    <xf numFmtId="178" fontId="16" fillId="0" borderId="56" xfId="9" applyNumberFormat="1" applyFont="1" applyFill="1" applyBorder="1"/>
    <xf numFmtId="0" fontId="15" fillId="0" borderId="20" xfId="26" applyNumberFormat="1" applyFont="1" applyBorder="1"/>
    <xf numFmtId="0" fontId="15" fillId="0" borderId="0" xfId="26" applyNumberFormat="1" applyFont="1" applyBorder="1"/>
    <xf numFmtId="0" fontId="15" fillId="0" borderId="0" xfId="26" applyNumberFormat="1" applyFont="1" applyBorder="1" applyAlignment="1">
      <alignment horizontal="center"/>
    </xf>
    <xf numFmtId="178" fontId="30" fillId="0" borderId="0" xfId="26" applyNumberFormat="1" applyFont="1" applyBorder="1"/>
    <xf numFmtId="178" fontId="15" fillId="0" borderId="0" xfId="26" applyNumberFormat="1" applyFont="1" applyBorder="1"/>
    <xf numFmtId="178" fontId="28" fillId="0" borderId="0" xfId="26" applyNumberFormat="1" applyFont="1" applyFill="1" applyBorder="1" applyAlignment="1">
      <alignment horizontal="right"/>
    </xf>
    <xf numFmtId="3" fontId="15" fillId="6" borderId="131" xfId="26" applyNumberFormat="1" applyFont="1" applyFill="1" applyBorder="1"/>
    <xf numFmtId="178" fontId="26" fillId="0" borderId="56" xfId="0" applyNumberFormat="1" applyFont="1" applyBorder="1"/>
    <xf numFmtId="3" fontId="27" fillId="6" borderId="131" xfId="9" applyNumberFormat="1" applyFont="1" applyFill="1" applyBorder="1"/>
    <xf numFmtId="0" fontId="26" fillId="0" borderId="19" xfId="0" applyFont="1" applyBorder="1" applyAlignment="1">
      <alignment horizontal="center"/>
    </xf>
    <xf numFmtId="0" fontId="57" fillId="0" borderId="14" xfId="0" applyFont="1" applyBorder="1"/>
    <xf numFmtId="0" fontId="26" fillId="0" borderId="16" xfId="0" applyFont="1" applyBorder="1"/>
    <xf numFmtId="178" fontId="30" fillId="0" borderId="21" xfId="9" applyNumberFormat="1" applyFont="1" applyFill="1" applyBorder="1"/>
    <xf numFmtId="178" fontId="16" fillId="0" borderId="21" xfId="9" applyNumberFormat="1" applyFont="1" applyFill="1" applyBorder="1"/>
    <xf numFmtId="0" fontId="76" fillId="0" borderId="0" xfId="0" applyFont="1" applyAlignment="1">
      <alignment horizontal="right"/>
    </xf>
    <xf numFmtId="178" fontId="26" fillId="0" borderId="0" xfId="0" applyNumberFormat="1" applyFont="1"/>
    <xf numFmtId="178" fontId="26" fillId="0" borderId="21" xfId="0" applyNumberFormat="1" applyFont="1" applyBorder="1"/>
    <xf numFmtId="178" fontId="16" fillId="0" borderId="0" xfId="0" applyNumberFormat="1" applyFont="1"/>
    <xf numFmtId="178" fontId="16" fillId="0" borderId="21" xfId="0" applyNumberFormat="1" applyFont="1" applyBorder="1"/>
    <xf numFmtId="169" fontId="27" fillId="0" borderId="21" xfId="9" applyNumberFormat="1" applyFont="1" applyFill="1" applyBorder="1"/>
    <xf numFmtId="178" fontId="76" fillId="0" borderId="0" xfId="0" applyNumberFormat="1" applyFont="1"/>
    <xf numFmtId="178" fontId="76" fillId="0" borderId="21" xfId="0" applyNumberFormat="1" applyFont="1" applyBorder="1"/>
    <xf numFmtId="0" fontId="76" fillId="14" borderId="0" xfId="0" applyFont="1" applyFill="1"/>
    <xf numFmtId="4" fontId="76" fillId="0" borderId="56" xfId="0" applyNumberFormat="1" applyFont="1" applyBorder="1"/>
    <xf numFmtId="0" fontId="22" fillId="12" borderId="56" xfId="17" applyFont="1" applyFill="1" applyBorder="1" applyAlignment="1" applyProtection="1">
      <alignment horizontal="center" vertical="center"/>
      <protection hidden="1"/>
    </xf>
    <xf numFmtId="2" fontId="30" fillId="6" borderId="131" xfId="26" applyNumberFormat="1" applyFont="1" applyFill="1" applyBorder="1"/>
    <xf numFmtId="3" fontId="27" fillId="6" borderId="131" xfId="26" applyNumberFormat="1" applyFont="1" applyFill="1" applyBorder="1"/>
    <xf numFmtId="176" fontId="14" fillId="0" borderId="0" xfId="17" applyNumberFormat="1" applyFont="1" applyProtection="1">
      <protection hidden="1"/>
    </xf>
    <xf numFmtId="0" fontId="22" fillId="12" borderId="19" xfId="17" applyFont="1" applyFill="1" applyBorder="1" applyAlignment="1" applyProtection="1">
      <alignment horizontal="center" vertical="center"/>
      <protection hidden="1"/>
    </xf>
    <xf numFmtId="176" fontId="30" fillId="0" borderId="0" xfId="17" applyNumberFormat="1" applyFont="1" applyProtection="1">
      <protection hidden="1"/>
    </xf>
    <xf numFmtId="3" fontId="14" fillId="0" borderId="20" xfId="0" applyNumberFormat="1" applyFont="1" applyBorder="1"/>
    <xf numFmtId="176" fontId="55" fillId="0" borderId="56" xfId="17" applyNumberFormat="1" applyFont="1" applyBorder="1" applyProtection="1">
      <protection hidden="1"/>
    </xf>
    <xf numFmtId="0" fontId="14" fillId="0" borderId="20" xfId="26" applyNumberFormat="1" applyFont="1" applyBorder="1"/>
    <xf numFmtId="37" fontId="22" fillId="11" borderId="15" xfId="0" applyNumberFormat="1" applyFont="1" applyFill="1" applyBorder="1" applyAlignment="1">
      <alignment horizontal="left" vertical="center"/>
    </xf>
    <xf numFmtId="0" fontId="31" fillId="2" borderId="17" xfId="26" applyNumberFormat="1" applyFont="1" applyFill="1" applyBorder="1" applyAlignment="1">
      <alignment horizontal="left" vertical="center"/>
    </xf>
    <xf numFmtId="175" fontId="31" fillId="2" borderId="18" xfId="26" applyNumberFormat="1" applyFont="1" applyFill="1" applyBorder="1" applyAlignment="1">
      <alignment horizontal="right" vertical="center"/>
    </xf>
    <xf numFmtId="0" fontId="31" fillId="2" borderId="18" xfId="26" applyNumberFormat="1" applyFont="1" applyFill="1" applyBorder="1" applyAlignment="1">
      <alignment horizontal="right" vertical="center"/>
    </xf>
    <xf numFmtId="0" fontId="31" fillId="2" borderId="19" xfId="26" applyNumberFormat="1" applyFont="1" applyFill="1" applyBorder="1" applyAlignment="1">
      <alignment horizontal="right" vertical="center"/>
    </xf>
    <xf numFmtId="3" fontId="84" fillId="0" borderId="56" xfId="0" applyNumberFormat="1" applyFont="1" applyBorder="1"/>
    <xf numFmtId="0" fontId="28" fillId="2" borderId="55" xfId="26" applyNumberFormat="1" applyFont="1" applyFill="1" applyBorder="1" applyAlignment="1">
      <alignment horizontal="left" vertical="center"/>
    </xf>
    <xf numFmtId="0" fontId="34" fillId="2" borderId="20" xfId="26" applyNumberFormat="1" applyFont="1" applyFill="1" applyBorder="1" applyAlignment="1">
      <alignment horizontal="left" vertical="center"/>
    </xf>
    <xf numFmtId="169" fontId="74" fillId="0" borderId="0" xfId="9" applyNumberFormat="1" applyFont="1" applyBorder="1"/>
    <xf numFmtId="169" fontId="74" fillId="0" borderId="21" xfId="9" applyNumberFormat="1" applyFont="1" applyBorder="1"/>
    <xf numFmtId="0" fontId="14" fillId="0" borderId="55" xfId="26" applyNumberFormat="1" applyFont="1" applyBorder="1"/>
    <xf numFmtId="37" fontId="22" fillId="11" borderId="18" xfId="0" applyNumberFormat="1" applyFont="1" applyFill="1" applyBorder="1" applyAlignment="1">
      <alignment horizontal="left" vertical="center"/>
    </xf>
    <xf numFmtId="37" fontId="22" fillId="11" borderId="19" xfId="0" applyNumberFormat="1" applyFont="1" applyFill="1" applyBorder="1" applyAlignment="1">
      <alignment horizontal="right" vertical="center"/>
    </xf>
    <xf numFmtId="0" fontId="26" fillId="0" borderId="17" xfId="26" applyNumberFormat="1" applyFont="1" applyBorder="1"/>
    <xf numFmtId="175" fontId="14" fillId="0" borderId="18" xfId="26" applyNumberFormat="1" applyFont="1" applyBorder="1"/>
    <xf numFmtId="175" fontId="14" fillId="0" borderId="18" xfId="26" applyNumberFormat="1" applyFont="1" applyBorder="1" applyAlignment="1">
      <alignment horizontal="center"/>
    </xf>
    <xf numFmtId="14" fontId="26" fillId="0" borderId="18" xfId="26" applyNumberFormat="1" applyFont="1" applyBorder="1" applyAlignment="1">
      <alignment horizontal="right"/>
    </xf>
    <xf numFmtId="14" fontId="26" fillId="0" borderId="19" xfId="26" applyNumberFormat="1" applyFont="1" applyBorder="1" applyAlignment="1">
      <alignment horizontal="right"/>
    </xf>
    <xf numFmtId="37" fontId="22" fillId="11" borderId="16" xfId="0" applyNumberFormat="1" applyFont="1" applyFill="1" applyBorder="1" applyAlignment="1">
      <alignment horizontal="right" vertical="center"/>
    </xf>
    <xf numFmtId="0" fontId="26" fillId="0" borderId="14" xfId="26" applyNumberFormat="1" applyFont="1" applyBorder="1"/>
    <xf numFmtId="0" fontId="14" fillId="0" borderId="20" xfId="26" applyNumberFormat="1" applyFont="1" applyBorder="1" applyAlignment="1">
      <alignment horizontal="left" indent="1"/>
    </xf>
    <xf numFmtId="175" fontId="14" fillId="0" borderId="0" xfId="26" applyNumberFormat="1" applyFont="1" applyBorder="1" applyAlignment="1">
      <alignment horizontal="right"/>
    </xf>
    <xf numFmtId="175" fontId="14" fillId="0" borderId="56" xfId="26" applyNumberFormat="1" applyFont="1" applyBorder="1" applyAlignment="1">
      <alignment horizontal="right"/>
    </xf>
    <xf numFmtId="175" fontId="27" fillId="0" borderId="56" xfId="26" applyNumberFormat="1" applyFont="1" applyBorder="1" applyAlignment="1">
      <alignment horizontal="right"/>
    </xf>
    <xf numFmtId="175" fontId="14" fillId="0" borderId="56" xfId="26" applyNumberFormat="1" applyFont="1" applyBorder="1"/>
    <xf numFmtId="175" fontId="14" fillId="0" borderId="56" xfId="26" applyNumberFormat="1" applyFont="1" applyBorder="1" applyAlignment="1">
      <alignment horizontal="center"/>
    </xf>
    <xf numFmtId="175" fontId="14" fillId="0" borderId="0" xfId="26" applyNumberFormat="1" applyFont="1" applyBorder="1"/>
    <xf numFmtId="175" fontId="14" fillId="0" borderId="0" xfId="26" applyNumberFormat="1" applyFont="1" applyBorder="1" applyAlignment="1">
      <alignment horizontal="center"/>
    </xf>
    <xf numFmtId="175" fontId="26" fillId="0" borderId="0" xfId="26" applyNumberFormat="1" applyFont="1" applyBorder="1" applyAlignment="1">
      <alignment horizontal="right"/>
    </xf>
    <xf numFmtId="178" fontId="26" fillId="0" borderId="0" xfId="26" applyNumberFormat="1" applyFont="1" applyBorder="1"/>
    <xf numFmtId="3" fontId="26" fillId="0" borderId="57" xfId="0" applyNumberFormat="1" applyFont="1" applyBorder="1"/>
    <xf numFmtId="169" fontId="26" fillId="0" borderId="132" xfId="9" applyNumberFormat="1" applyFont="1" applyBorder="1"/>
    <xf numFmtId="3" fontId="26" fillId="0" borderId="15" xfId="0" applyNumberFormat="1" applyFont="1" applyBorder="1"/>
    <xf numFmtId="3" fontId="26" fillId="0" borderId="16" xfId="0" applyNumberFormat="1" applyFont="1" applyBorder="1"/>
    <xf numFmtId="3" fontId="14" fillId="0" borderId="56" xfId="0" applyNumberFormat="1" applyFont="1" applyBorder="1" applyAlignment="1">
      <alignment horizontal="right"/>
    </xf>
    <xf numFmtId="0" fontId="14" fillId="0" borderId="20" xfId="26" applyNumberFormat="1" applyFont="1" applyBorder="1" applyAlignment="1">
      <alignment horizontal="center"/>
    </xf>
    <xf numFmtId="0" fontId="14" fillId="0" borderId="0" xfId="26" applyNumberFormat="1" applyFont="1" applyFill="1" applyBorder="1"/>
    <xf numFmtId="169" fontId="28" fillId="0" borderId="0" xfId="9" applyNumberFormat="1" applyFont="1" applyFill="1" applyBorder="1" applyAlignment="1">
      <alignment horizontal="right"/>
    </xf>
    <xf numFmtId="176" fontId="27" fillId="0" borderId="56" xfId="17" applyNumberFormat="1" applyFont="1" applyBorder="1" applyProtection="1">
      <protection hidden="1"/>
    </xf>
    <xf numFmtId="0" fontId="74" fillId="0" borderId="20" xfId="26" applyNumberFormat="1" applyFont="1" applyBorder="1"/>
    <xf numFmtId="0" fontId="87" fillId="0" borderId="20" xfId="29" applyNumberFormat="1" applyFont="1" applyBorder="1"/>
    <xf numFmtId="0" fontId="87" fillId="0" borderId="55" xfId="29" applyNumberFormat="1" applyFont="1" applyBorder="1"/>
    <xf numFmtId="165" fontId="26" fillId="0" borderId="132" xfId="9" applyNumberFormat="1" applyFont="1" applyBorder="1"/>
    <xf numFmtId="3" fontId="76" fillId="0" borderId="14" xfId="0" applyNumberFormat="1" applyFont="1" applyBorder="1"/>
    <xf numFmtId="3" fontId="84" fillId="0" borderId="21" xfId="0" applyNumberFormat="1" applyFont="1" applyBorder="1"/>
    <xf numFmtId="3" fontId="84" fillId="0" borderId="57" xfId="0" applyNumberFormat="1" applyFont="1" applyBorder="1"/>
    <xf numFmtId="3" fontId="74" fillId="0" borderId="20" xfId="0" applyNumberFormat="1" applyFont="1" applyBorder="1"/>
    <xf numFmtId="3" fontId="57" fillId="0" borderId="20" xfId="0" applyNumberFormat="1" applyFont="1" applyBorder="1"/>
    <xf numFmtId="176" fontId="27" fillId="0" borderId="57" xfId="17" applyNumberFormat="1" applyFont="1" applyBorder="1" applyProtection="1">
      <protection hidden="1"/>
    </xf>
    <xf numFmtId="0" fontId="26" fillId="0" borderId="21" xfId="0" applyFont="1" applyBorder="1"/>
    <xf numFmtId="166" fontId="80" fillId="0" borderId="21" xfId="0" applyNumberFormat="1" applyFont="1" applyBorder="1"/>
    <xf numFmtId="166" fontId="80" fillId="0" borderId="57" xfId="0" applyNumberFormat="1" applyFont="1" applyBorder="1"/>
    <xf numFmtId="166" fontId="26" fillId="0" borderId="21" xfId="0" applyNumberFormat="1" applyFont="1" applyBorder="1"/>
    <xf numFmtId="3" fontId="82" fillId="0" borderId="21" xfId="0" applyNumberFormat="1" applyFont="1" applyBorder="1"/>
    <xf numFmtId="4" fontId="76" fillId="0" borderId="57" xfId="0" applyNumberFormat="1" applyFont="1" applyBorder="1"/>
    <xf numFmtId="3" fontId="76" fillId="14" borderId="0" xfId="0" applyNumberFormat="1" applyFont="1" applyFill="1"/>
    <xf numFmtId="3" fontId="80" fillId="14" borderId="0" xfId="0" applyNumberFormat="1" applyFont="1" applyFill="1"/>
    <xf numFmtId="10" fontId="76" fillId="14" borderId="0" xfId="9" applyNumberFormat="1" applyFont="1" applyFill="1"/>
    <xf numFmtId="3" fontId="26" fillId="14" borderId="0" xfId="0" applyNumberFormat="1" applyFont="1" applyFill="1"/>
    <xf numFmtId="0" fontId="57" fillId="0" borderId="14" xfId="23" applyNumberFormat="1" applyFont="1" applyBorder="1"/>
    <xf numFmtId="0" fontId="17" fillId="0" borderId="15" xfId="23" applyNumberFormat="1" applyFont="1" applyBorder="1"/>
    <xf numFmtId="175" fontId="17" fillId="0" borderId="15" xfId="23" applyNumberFormat="1" applyFont="1" applyBorder="1" applyAlignment="1">
      <alignment horizontal="center"/>
    </xf>
    <xf numFmtId="175" fontId="17" fillId="0" borderId="15" xfId="23" applyNumberFormat="1" applyFont="1" applyBorder="1" applyAlignment="1">
      <alignment horizontal="right"/>
    </xf>
    <xf numFmtId="175" fontId="17" fillId="0" borderId="16" xfId="23" applyNumberFormat="1" applyFont="1" applyBorder="1" applyAlignment="1">
      <alignment horizontal="right"/>
    </xf>
    <xf numFmtId="169" fontId="30" fillId="0" borderId="21" xfId="9" applyNumberFormat="1" applyFont="1" applyFill="1" applyBorder="1"/>
    <xf numFmtId="169" fontId="30" fillId="0" borderId="21" xfId="9" applyNumberFormat="1" applyFont="1" applyBorder="1"/>
    <xf numFmtId="175" fontId="17" fillId="0" borderId="21" xfId="23" applyNumberFormat="1" applyFont="1" applyBorder="1" applyAlignment="1">
      <alignment horizontal="right"/>
    </xf>
    <xf numFmtId="37" fontId="22" fillId="11" borderId="0" xfId="0" applyNumberFormat="1" applyFont="1" applyFill="1" applyAlignment="1">
      <alignment horizontal="right" vertical="center"/>
    </xf>
    <xf numFmtId="0" fontId="76" fillId="0" borderId="103" xfId="0" applyFont="1" applyBorder="1"/>
    <xf numFmtId="0" fontId="22" fillId="12" borderId="17" xfId="17" applyFont="1" applyFill="1" applyBorder="1" applyAlignment="1" applyProtection="1">
      <alignment horizontal="left" vertical="center"/>
      <protection hidden="1"/>
    </xf>
    <xf numFmtId="0" fontId="22" fillId="12" borderId="18" xfId="17" applyFont="1" applyFill="1" applyBorder="1" applyAlignment="1" applyProtection="1">
      <alignment horizontal="center" vertical="center"/>
      <protection hidden="1"/>
    </xf>
    <xf numFmtId="169" fontId="30" fillId="6" borderId="135" xfId="9" applyNumberFormat="1" applyFont="1" applyFill="1" applyBorder="1"/>
    <xf numFmtId="0" fontId="28" fillId="3" borderId="55" xfId="17" applyFont="1" applyFill="1" applyBorder="1" applyProtection="1">
      <protection hidden="1"/>
    </xf>
    <xf numFmtId="0" fontId="28" fillId="2" borderId="55" xfId="17" applyFont="1" applyFill="1" applyBorder="1" applyAlignment="1" applyProtection="1">
      <alignment horizontal="left" indent="1"/>
      <protection hidden="1"/>
    </xf>
    <xf numFmtId="3" fontId="89" fillId="11" borderId="0" xfId="0" applyNumberFormat="1" applyFont="1" applyFill="1"/>
    <xf numFmtId="0" fontId="13" fillId="0" borderId="20" xfId="26" applyNumberFormat="1" applyFont="1" applyBorder="1"/>
    <xf numFmtId="169" fontId="80" fillId="0" borderId="21" xfId="9" applyNumberFormat="1" applyFont="1" applyBorder="1"/>
    <xf numFmtId="0" fontId="82" fillId="0" borderId="20" xfId="26" applyNumberFormat="1" applyFont="1" applyBorder="1" applyAlignment="1">
      <alignment horizontal="center"/>
    </xf>
    <xf numFmtId="186" fontId="30" fillId="6" borderId="131" xfId="26" applyNumberFormat="1" applyFont="1" applyFill="1" applyBorder="1"/>
    <xf numFmtId="0" fontId="12" fillId="0" borderId="20" xfId="26" applyNumberFormat="1" applyFont="1" applyBorder="1" applyAlignment="1">
      <alignment horizontal="left"/>
    </xf>
    <xf numFmtId="165" fontId="76" fillId="0" borderId="0" xfId="0" applyNumberFormat="1" applyFont="1"/>
    <xf numFmtId="0" fontId="12" fillId="0" borderId="20" xfId="26" applyNumberFormat="1" applyFont="1" applyBorder="1" applyAlignment="1">
      <alignment horizontal="center"/>
    </xf>
    <xf numFmtId="3" fontId="82" fillId="0" borderId="25" xfId="0" applyNumberFormat="1" applyFont="1" applyBorder="1"/>
    <xf numFmtId="3" fontId="82" fillId="0" borderId="26" xfId="0" applyNumberFormat="1" applyFont="1" applyBorder="1"/>
    <xf numFmtId="178" fontId="82" fillId="0" borderId="26" xfId="9" applyNumberFormat="1" applyFont="1" applyFill="1" applyBorder="1"/>
    <xf numFmtId="165" fontId="76" fillId="0" borderId="21" xfId="0" applyNumberFormat="1" applyFont="1" applyBorder="1"/>
    <xf numFmtId="0" fontId="12" fillId="0" borderId="20" xfId="0" applyFont="1" applyBorder="1"/>
    <xf numFmtId="0" fontId="12" fillId="0" borderId="20" xfId="26" applyNumberFormat="1" applyFont="1" applyBorder="1"/>
    <xf numFmtId="0" fontId="76" fillId="0" borderId="25" xfId="0" applyFont="1" applyBorder="1"/>
    <xf numFmtId="0" fontId="76" fillId="0" borderId="26" xfId="0" applyFont="1" applyBorder="1"/>
    <xf numFmtId="0" fontId="76" fillId="0" borderId="27" xfId="0" applyFont="1" applyBorder="1"/>
    <xf numFmtId="3" fontId="31" fillId="0" borderId="18" xfId="7" applyNumberFormat="1" applyFont="1" applyFill="1" applyBorder="1"/>
    <xf numFmtId="3" fontId="31" fillId="0" borderId="117" xfId="7" applyNumberFormat="1" applyFont="1" applyFill="1" applyBorder="1"/>
    <xf numFmtId="3" fontId="31" fillId="0" borderId="134" xfId="7" applyNumberFormat="1" applyFont="1" applyFill="1" applyBorder="1"/>
    <xf numFmtId="3" fontId="30" fillId="0" borderId="0" xfId="9" applyNumberFormat="1" applyFont="1" applyFill="1" applyBorder="1"/>
    <xf numFmtId="0" fontId="28" fillId="3" borderId="16" xfId="1" applyFont="1" applyFill="1" applyBorder="1" applyProtection="1">
      <protection hidden="1"/>
    </xf>
    <xf numFmtId="176" fontId="28" fillId="3" borderId="57" xfId="17" applyNumberFormat="1" applyFont="1" applyFill="1" applyBorder="1" applyProtection="1">
      <protection hidden="1"/>
    </xf>
    <xf numFmtId="176" fontId="31" fillId="3" borderId="19" xfId="17" applyNumberFormat="1" applyFont="1" applyFill="1" applyBorder="1" applyProtection="1">
      <protection hidden="1"/>
    </xf>
    <xf numFmtId="176" fontId="31" fillId="3" borderId="57" xfId="17" applyNumberFormat="1" applyFont="1" applyFill="1" applyBorder="1" applyProtection="1">
      <protection hidden="1"/>
    </xf>
    <xf numFmtId="166" fontId="31" fillId="3" borderId="57" xfId="17" applyNumberFormat="1" applyFont="1" applyFill="1" applyBorder="1" applyProtection="1">
      <protection hidden="1"/>
    </xf>
    <xf numFmtId="176" fontId="23" fillId="2" borderId="27" xfId="17" applyNumberFormat="1" applyFont="1" applyFill="1" applyBorder="1" applyProtection="1">
      <protection hidden="1"/>
    </xf>
    <xf numFmtId="0" fontId="23" fillId="2" borderId="57" xfId="17" applyFont="1" applyFill="1" applyBorder="1" applyAlignment="1" applyProtection="1">
      <alignment horizontal="right"/>
      <protection hidden="1"/>
    </xf>
    <xf numFmtId="166" fontId="58" fillId="3" borderId="21" xfId="17" applyNumberFormat="1" applyFont="1" applyFill="1" applyBorder="1" applyAlignment="1" applyProtection="1">
      <alignment horizontal="right"/>
      <protection hidden="1"/>
    </xf>
    <xf numFmtId="176" fontId="23" fillId="2" borderId="19" xfId="17" applyNumberFormat="1" applyFont="1" applyFill="1" applyBorder="1" applyProtection="1">
      <protection hidden="1"/>
    </xf>
    <xf numFmtId="3" fontId="23" fillId="2" borderId="16" xfId="24" applyNumberFormat="1" applyFont="1" applyFill="1" applyBorder="1" applyAlignment="1">
      <alignment horizontal="right"/>
    </xf>
    <xf numFmtId="176" fontId="31" fillId="2" borderId="21" xfId="8" applyNumberFormat="1" applyFont="1" applyFill="1" applyBorder="1" applyAlignment="1">
      <alignment horizontal="right" vertical="center"/>
    </xf>
    <xf numFmtId="176" fontId="28" fillId="2" borderId="57" xfId="8" applyNumberFormat="1" applyFont="1" applyFill="1" applyBorder="1" applyAlignment="1">
      <alignment horizontal="right" vertical="center" wrapText="1"/>
    </xf>
    <xf numFmtId="176" fontId="23" fillId="2" borderId="21" xfId="8" applyNumberFormat="1" applyFont="1" applyFill="1" applyBorder="1" applyAlignment="1">
      <alignment horizontal="right" vertical="center" wrapText="1"/>
    </xf>
    <xf numFmtId="176" fontId="23" fillId="2" borderId="21" xfId="24" applyNumberFormat="1" applyFont="1" applyFill="1" applyBorder="1" applyAlignment="1">
      <alignment horizontal="right" vertical="center"/>
    </xf>
    <xf numFmtId="176" fontId="23" fillId="2" borderId="57" xfId="24" applyNumberFormat="1" applyFont="1" applyFill="1" applyBorder="1" applyAlignment="1">
      <alignment horizontal="right" vertical="center"/>
    </xf>
    <xf numFmtId="0" fontId="17" fillId="0" borderId="55" xfId="23" applyNumberFormat="1" applyFont="1" applyFill="1" applyBorder="1"/>
    <xf numFmtId="0" fontId="57" fillId="0" borderId="56" xfId="23" applyNumberFormat="1" applyFont="1" applyBorder="1"/>
    <xf numFmtId="0" fontId="17" fillId="0" borderId="56" xfId="23" applyNumberFormat="1" applyFont="1" applyBorder="1"/>
    <xf numFmtId="178" fontId="30" fillId="0" borderId="56" xfId="23" applyNumberFormat="1" applyFont="1" applyBorder="1"/>
    <xf numFmtId="178" fontId="28" fillId="0" borderId="56" xfId="7" applyNumberFormat="1" applyFont="1" applyBorder="1" applyAlignment="1">
      <alignment horizontal="right"/>
    </xf>
    <xf numFmtId="178" fontId="28" fillId="0" borderId="56" xfId="23" applyNumberFormat="1" applyFont="1" applyBorder="1"/>
    <xf numFmtId="169" fontId="30" fillId="0" borderId="56" xfId="9" applyNumberFormat="1" applyFont="1" applyBorder="1"/>
    <xf numFmtId="169" fontId="30" fillId="0" borderId="57" xfId="9" applyNumberFormat="1" applyFont="1" applyBorder="1"/>
    <xf numFmtId="0" fontId="12" fillId="0" borderId="55" xfId="26" applyNumberFormat="1" applyFont="1" applyBorder="1"/>
    <xf numFmtId="166" fontId="76" fillId="0" borderId="21" xfId="0" applyNumberFormat="1" applyFont="1" applyBorder="1"/>
    <xf numFmtId="3" fontId="57" fillId="0" borderId="14" xfId="0" applyNumberFormat="1" applyFont="1" applyBorder="1"/>
    <xf numFmtId="3" fontId="76" fillId="3" borderId="15" xfId="0" applyNumberFormat="1" applyFont="1" applyFill="1" applyBorder="1"/>
    <xf numFmtId="0" fontId="26" fillId="3" borderId="15" xfId="0" applyFont="1" applyFill="1" applyBorder="1"/>
    <xf numFmtId="0" fontId="26" fillId="3" borderId="16" xfId="0" applyFont="1" applyFill="1" applyBorder="1"/>
    <xf numFmtId="3" fontId="76" fillId="3" borderId="21" xfId="0" applyNumberFormat="1" applyFont="1" applyFill="1" applyBorder="1"/>
    <xf numFmtId="3" fontId="26" fillId="3" borderId="0" xfId="0" applyNumberFormat="1" applyFont="1" applyFill="1"/>
    <xf numFmtId="3" fontId="26" fillId="3" borderId="21" xfId="0" applyNumberFormat="1" applyFont="1" applyFill="1" applyBorder="1"/>
    <xf numFmtId="3" fontId="76" fillId="3" borderId="25" xfId="0" applyNumberFormat="1" applyFont="1" applyFill="1" applyBorder="1"/>
    <xf numFmtId="3" fontId="76" fillId="3" borderId="26" xfId="0" applyNumberFormat="1" applyFont="1" applyFill="1" applyBorder="1"/>
    <xf numFmtId="3" fontId="76" fillId="3" borderId="27" xfId="0" applyNumberFormat="1" applyFont="1" applyFill="1" applyBorder="1"/>
    <xf numFmtId="41" fontId="76" fillId="0" borderId="0" xfId="0" applyNumberFormat="1" applyFont="1"/>
    <xf numFmtId="166" fontId="84" fillId="0" borderId="56" xfId="0" applyNumberFormat="1" applyFont="1" applyBorder="1"/>
    <xf numFmtId="3" fontId="84" fillId="0" borderId="15" xfId="0" applyNumberFormat="1" applyFont="1" applyBorder="1"/>
    <xf numFmtId="3" fontId="84" fillId="0" borderId="16" xfId="0" applyNumberFormat="1" applyFont="1" applyBorder="1"/>
    <xf numFmtId="166" fontId="84" fillId="0" borderId="57" xfId="0" applyNumberFormat="1" applyFont="1" applyBorder="1"/>
    <xf numFmtId="3" fontId="26" fillId="0" borderId="14" xfId="0" applyNumberFormat="1" applyFont="1" applyBorder="1"/>
    <xf numFmtId="0" fontId="31" fillId="2" borderId="14" xfId="26" applyNumberFormat="1" applyFont="1" applyFill="1" applyBorder="1" applyAlignment="1">
      <alignment horizontal="left" vertical="center"/>
    </xf>
    <xf numFmtId="0" fontId="23" fillId="2" borderId="22" xfId="26" applyNumberFormat="1" applyFont="1" applyFill="1" applyBorder="1" applyAlignment="1">
      <alignment horizontal="left" vertical="center"/>
    </xf>
    <xf numFmtId="3" fontId="76" fillId="0" borderId="23" xfId="0" applyNumberFormat="1" applyFont="1" applyBorder="1"/>
    <xf numFmtId="3" fontId="26" fillId="0" borderId="23" xfId="0" applyNumberFormat="1" applyFont="1" applyBorder="1"/>
    <xf numFmtId="3" fontId="26" fillId="0" borderId="24" xfId="0" applyNumberFormat="1" applyFont="1" applyBorder="1"/>
    <xf numFmtId="41" fontId="84" fillId="0" borderId="56" xfId="0" applyNumberFormat="1" applyFont="1" applyBorder="1"/>
    <xf numFmtId="41" fontId="84" fillId="0" borderId="0" xfId="0" applyNumberFormat="1" applyFont="1"/>
    <xf numFmtId="41" fontId="84" fillId="0" borderId="21" xfId="0" applyNumberFormat="1" applyFont="1" applyBorder="1"/>
    <xf numFmtId="41" fontId="84" fillId="0" borderId="57" xfId="0" applyNumberFormat="1" applyFont="1" applyBorder="1"/>
    <xf numFmtId="41" fontId="26" fillId="0" borderId="0" xfId="0" applyNumberFormat="1" applyFont="1"/>
    <xf numFmtId="0" fontId="11" fillId="0" borderId="20" xfId="26" applyNumberFormat="1" applyFont="1" applyBorder="1"/>
    <xf numFmtId="169" fontId="82" fillId="0" borderId="0" xfId="9" applyNumberFormat="1" applyFont="1" applyBorder="1"/>
    <xf numFmtId="169" fontId="76" fillId="0" borderId="56" xfId="9" applyNumberFormat="1" applyFont="1" applyBorder="1"/>
    <xf numFmtId="3" fontId="11" fillId="0" borderId="20" xfId="0" applyNumberFormat="1" applyFont="1" applyBorder="1"/>
    <xf numFmtId="0" fontId="30" fillId="6" borderId="131" xfId="9" applyNumberFormat="1" applyFont="1" applyFill="1" applyBorder="1"/>
    <xf numFmtId="3" fontId="74" fillId="0" borderId="6" xfId="0" applyNumberFormat="1" applyFont="1" applyBorder="1"/>
    <xf numFmtId="3" fontId="14" fillId="0" borderId="6" xfId="0" applyNumberFormat="1" applyFont="1" applyBorder="1"/>
    <xf numFmtId="3" fontId="11" fillId="0" borderId="136" xfId="0" applyNumberFormat="1" applyFont="1" applyBorder="1"/>
    <xf numFmtId="3" fontId="84" fillId="0" borderId="101" xfId="0" applyNumberFormat="1" applyFont="1" applyBorder="1"/>
    <xf numFmtId="169" fontId="74" fillId="0" borderId="101" xfId="9" applyNumberFormat="1" applyFont="1" applyBorder="1"/>
    <xf numFmtId="0" fontId="28" fillId="7" borderId="80" xfId="0" applyFont="1" applyFill="1" applyBorder="1" applyAlignment="1" applyProtection="1">
      <alignment horizontal="right"/>
      <protection locked="0"/>
    </xf>
    <xf numFmtId="169" fontId="76" fillId="0" borderId="137" xfId="9" applyNumberFormat="1" applyFont="1" applyBorder="1"/>
    <xf numFmtId="169" fontId="82" fillId="0" borderId="21" xfId="9" applyNumberFormat="1" applyFont="1" applyBorder="1"/>
    <xf numFmtId="3" fontId="76" fillId="3" borderId="20" xfId="0" applyNumberFormat="1" applyFont="1" applyFill="1" applyBorder="1"/>
    <xf numFmtId="3" fontId="76" fillId="3" borderId="55" xfId="0" applyNumberFormat="1" applyFont="1" applyFill="1" applyBorder="1"/>
    <xf numFmtId="3" fontId="76" fillId="3" borderId="56" xfId="0" applyNumberFormat="1" applyFont="1" applyFill="1" applyBorder="1"/>
    <xf numFmtId="3" fontId="76" fillId="3" borderId="57" xfId="0" applyNumberFormat="1" applyFont="1" applyFill="1" applyBorder="1"/>
    <xf numFmtId="0" fontId="26" fillId="0" borderId="0" xfId="0" applyFont="1" applyAlignment="1">
      <alignment horizontal="center"/>
    </xf>
    <xf numFmtId="169" fontId="74" fillId="0" borderId="0" xfId="9" applyNumberFormat="1" applyFont="1"/>
    <xf numFmtId="0" fontId="74" fillId="0" borderId="0" xfId="0" applyFont="1"/>
    <xf numFmtId="166" fontId="76" fillId="0" borderId="103" xfId="0" applyNumberFormat="1" applyFont="1" applyBorder="1"/>
    <xf numFmtId="166" fontId="76" fillId="0" borderId="138" xfId="0" applyNumberFormat="1" applyFont="1" applyBorder="1"/>
    <xf numFmtId="3" fontId="83" fillId="0" borderId="0" xfId="0" applyNumberFormat="1" applyFont="1"/>
    <xf numFmtId="0" fontId="82" fillId="0" borderId="0" xfId="0" applyFont="1" applyAlignment="1">
      <alignment horizontal="right"/>
    </xf>
    <xf numFmtId="0" fontId="90" fillId="0" borderId="20" xfId="29" applyNumberFormat="1" applyFont="1" applyBorder="1"/>
    <xf numFmtId="178" fontId="30" fillId="0" borderId="103" xfId="9" applyNumberFormat="1" applyFont="1" applyFill="1" applyBorder="1"/>
    <xf numFmtId="0" fontId="10" fillId="0" borderId="20" xfId="26" applyNumberFormat="1" applyFont="1" applyBorder="1"/>
    <xf numFmtId="0" fontId="76" fillId="0" borderId="20" xfId="0" quotePrefix="1" applyFont="1" applyBorder="1"/>
    <xf numFmtId="0" fontId="76" fillId="0" borderId="140" xfId="0" quotePrefix="1" applyFont="1" applyBorder="1"/>
    <xf numFmtId="3" fontId="76" fillId="13" borderId="0" xfId="0" applyNumberFormat="1" applyFont="1" applyFill="1"/>
    <xf numFmtId="3" fontId="91" fillId="13" borderId="0" xfId="0" applyNumberFormat="1" applyFont="1" applyFill="1"/>
    <xf numFmtId="0" fontId="60" fillId="13" borderId="0" xfId="0" applyFont="1" applyFill="1"/>
    <xf numFmtId="178" fontId="80" fillId="0" borderId="0" xfId="0" applyNumberFormat="1" applyFont="1"/>
    <xf numFmtId="178" fontId="84" fillId="0" borderId="0" xfId="0" applyNumberFormat="1" applyFont="1"/>
    <xf numFmtId="178" fontId="80" fillId="0" borderId="103" xfId="0" applyNumberFormat="1" applyFont="1" applyBorder="1"/>
    <xf numFmtId="178" fontId="84" fillId="0" borderId="103" xfId="0" applyNumberFormat="1" applyFont="1" applyBorder="1"/>
    <xf numFmtId="4" fontId="28" fillId="2" borderId="142" xfId="0" applyNumberFormat="1" applyFont="1" applyFill="1" applyBorder="1" applyAlignment="1">
      <alignment horizontal="left" vertical="center"/>
    </xf>
    <xf numFmtId="0" fontId="26" fillId="0" borderId="103" xfId="0" applyFont="1" applyBorder="1"/>
    <xf numFmtId="0" fontId="92" fillId="0" borderId="0" xfId="0" applyFont="1"/>
    <xf numFmtId="0" fontId="76" fillId="17" borderId="107" xfId="0" applyFont="1" applyFill="1" applyBorder="1"/>
    <xf numFmtId="0" fontId="76" fillId="17" borderId="6" xfId="0" applyFont="1" applyFill="1" applyBorder="1"/>
    <xf numFmtId="0" fontId="76" fillId="17" borderId="102" xfId="0" applyFont="1" applyFill="1" applyBorder="1"/>
    <xf numFmtId="178" fontId="76" fillId="17" borderId="70" xfId="0" applyNumberFormat="1" applyFont="1" applyFill="1" applyBorder="1"/>
    <xf numFmtId="178" fontId="76" fillId="17" borderId="108" xfId="0" applyNumberFormat="1" applyFont="1" applyFill="1" applyBorder="1"/>
    <xf numFmtId="178" fontId="76" fillId="17" borderId="0" xfId="0" applyNumberFormat="1" applyFont="1" applyFill="1"/>
    <xf numFmtId="178" fontId="76" fillId="17" borderId="101" xfId="0" applyNumberFormat="1" applyFont="1" applyFill="1" applyBorder="1"/>
    <xf numFmtId="178" fontId="76" fillId="17" borderId="103" xfId="0" applyNumberFormat="1" applyFont="1" applyFill="1" applyBorder="1"/>
    <xf numFmtId="169" fontId="76" fillId="17" borderId="0" xfId="9" applyNumberFormat="1" applyFont="1" applyFill="1" applyBorder="1"/>
    <xf numFmtId="169" fontId="80" fillId="17" borderId="0" xfId="9" applyNumberFormat="1" applyFont="1" applyFill="1" applyBorder="1"/>
    <xf numFmtId="169" fontId="76" fillId="17" borderId="101" xfId="9" applyNumberFormat="1" applyFont="1" applyFill="1" applyBorder="1"/>
    <xf numFmtId="169" fontId="76" fillId="17" borderId="103" xfId="9" applyNumberFormat="1" applyFont="1" applyFill="1" applyBorder="1"/>
    <xf numFmtId="169" fontId="76" fillId="17" borderId="78" xfId="9" applyNumberFormat="1" applyFont="1" applyFill="1" applyBorder="1"/>
    <xf numFmtId="178" fontId="76" fillId="0" borderId="103" xfId="0" applyNumberFormat="1" applyFont="1" applyBorder="1"/>
    <xf numFmtId="3" fontId="76" fillId="0" borderId="103" xfId="0" applyNumberFormat="1" applyFont="1" applyBorder="1"/>
    <xf numFmtId="178" fontId="26" fillId="0" borderId="103" xfId="0" applyNumberFormat="1" applyFont="1" applyBorder="1"/>
    <xf numFmtId="0" fontId="14" fillId="0" borderId="55" xfId="26" applyNumberFormat="1" applyFont="1" applyBorder="1" applyAlignment="1">
      <alignment horizontal="left" indent="1"/>
    </xf>
    <xf numFmtId="175" fontId="10" fillId="0" borderId="56" xfId="26" applyNumberFormat="1" applyFont="1" applyBorder="1" applyAlignment="1">
      <alignment horizontal="right"/>
    </xf>
    <xf numFmtId="175" fontId="30" fillId="0" borderId="56" xfId="26" applyNumberFormat="1" applyFont="1" applyBorder="1" applyAlignment="1">
      <alignment horizontal="right"/>
    </xf>
    <xf numFmtId="175" fontId="10" fillId="0" borderId="0" xfId="26" applyNumberFormat="1" applyFont="1" applyBorder="1" applyAlignment="1">
      <alignment horizontal="right"/>
    </xf>
    <xf numFmtId="175" fontId="10" fillId="0" borderId="103" xfId="26" applyNumberFormat="1" applyFont="1" applyBorder="1" applyAlignment="1">
      <alignment horizontal="right"/>
    </xf>
    <xf numFmtId="1" fontId="30" fillId="6" borderId="131" xfId="26" applyNumberFormat="1" applyFont="1" applyFill="1" applyBorder="1"/>
    <xf numFmtId="3" fontId="90" fillId="0" borderId="20" xfId="29" applyNumberFormat="1" applyFont="1" applyBorder="1"/>
    <xf numFmtId="0" fontId="76" fillId="0" borderId="143" xfId="0" applyFont="1" applyBorder="1"/>
    <xf numFmtId="0" fontId="76" fillId="0" borderId="90" xfId="0" applyFont="1" applyBorder="1"/>
    <xf numFmtId="0" fontId="76" fillId="0" borderId="144" xfId="0" applyFont="1" applyBorder="1"/>
    <xf numFmtId="176" fontId="28" fillId="2" borderId="103" xfId="17" applyNumberFormat="1" applyFont="1" applyFill="1" applyBorder="1" applyAlignment="1" applyProtection="1">
      <alignment horizontal="right"/>
      <protection hidden="1"/>
    </xf>
    <xf numFmtId="176" fontId="26" fillId="0" borderId="101" xfId="17" applyNumberFormat="1" applyFont="1" applyBorder="1" applyProtection="1">
      <protection hidden="1"/>
    </xf>
    <xf numFmtId="176" fontId="10" fillId="0" borderId="0" xfId="17" applyNumberFormat="1" applyFont="1" applyProtection="1">
      <protection hidden="1"/>
    </xf>
    <xf numFmtId="176" fontId="10" fillId="0" borderId="56" xfId="17" applyNumberFormat="1" applyFont="1" applyBorder="1" applyProtection="1">
      <protection hidden="1"/>
    </xf>
    <xf numFmtId="176" fontId="26" fillId="0" borderId="137" xfId="17" applyNumberFormat="1" applyFont="1" applyBorder="1" applyProtection="1">
      <protection hidden="1"/>
    </xf>
    <xf numFmtId="176" fontId="17" fillId="0" borderId="141" xfId="17" applyNumberFormat="1" applyFont="1" applyBorder="1" applyProtection="1">
      <protection hidden="1"/>
    </xf>
    <xf numFmtId="0" fontId="28" fillId="3" borderId="6" xfId="17" applyFont="1" applyFill="1" applyBorder="1" applyProtection="1">
      <protection hidden="1"/>
    </xf>
    <xf numFmtId="0" fontId="28" fillId="3" borderId="102" xfId="17" applyFont="1" applyFill="1" applyBorder="1" applyProtection="1">
      <protection hidden="1"/>
    </xf>
    <xf numFmtId="0" fontId="31" fillId="3" borderId="6" xfId="17" applyFont="1" applyFill="1" applyBorder="1" applyProtection="1">
      <protection hidden="1"/>
    </xf>
    <xf numFmtId="0" fontId="34" fillId="3" borderId="6" xfId="17" applyFont="1" applyFill="1" applyBorder="1" applyProtection="1">
      <protection hidden="1"/>
    </xf>
    <xf numFmtId="0" fontId="57" fillId="3" borderId="6" xfId="17" applyFont="1" applyFill="1" applyBorder="1" applyProtection="1">
      <protection hidden="1"/>
    </xf>
    <xf numFmtId="0" fontId="28" fillId="2" borderId="6" xfId="17" applyFont="1" applyFill="1" applyBorder="1" applyAlignment="1" applyProtection="1">
      <alignment horizontal="left"/>
      <protection hidden="1"/>
    </xf>
    <xf numFmtId="176" fontId="26" fillId="0" borderId="56" xfId="24" applyNumberFormat="1" applyFont="1" applyBorder="1" applyAlignment="1">
      <alignment horizontal="right" vertical="center"/>
    </xf>
    <xf numFmtId="176" fontId="28" fillId="2" borderId="101" xfId="8" applyNumberFormat="1" applyFont="1" applyFill="1" applyBorder="1" applyAlignment="1">
      <alignment horizontal="right" vertical="center" wrapText="1"/>
    </xf>
    <xf numFmtId="176" fontId="28" fillId="2" borderId="137" xfId="8" applyNumberFormat="1" applyFont="1" applyFill="1" applyBorder="1" applyAlignment="1">
      <alignment horizontal="right" vertical="center" wrapText="1"/>
    </xf>
    <xf numFmtId="176" fontId="28" fillId="2" borderId="102" xfId="8" applyNumberFormat="1" applyFont="1" applyFill="1" applyBorder="1" applyAlignment="1">
      <alignment horizontal="right" vertical="center" wrapText="1"/>
    </xf>
    <xf numFmtId="176" fontId="28" fillId="2" borderId="103" xfId="8" applyNumberFormat="1" applyFont="1" applyFill="1" applyBorder="1" applyAlignment="1">
      <alignment horizontal="right" vertical="center" wrapText="1"/>
    </xf>
    <xf numFmtId="176" fontId="17" fillId="0" borderId="103" xfId="8" applyNumberFormat="1" applyFont="1" applyBorder="1" applyAlignment="1">
      <alignment horizontal="right" vertical="center" wrapText="1"/>
    </xf>
    <xf numFmtId="169" fontId="85" fillId="0" borderId="0" xfId="9" applyNumberFormat="1" applyFont="1" applyFill="1" applyBorder="1" applyAlignment="1">
      <alignment horizontal="right"/>
    </xf>
    <xf numFmtId="176" fontId="28" fillId="2" borderId="78" xfId="17" applyNumberFormat="1" applyFont="1" applyFill="1" applyBorder="1" applyAlignment="1" applyProtection="1">
      <alignment horizontal="right"/>
      <protection hidden="1"/>
    </xf>
    <xf numFmtId="176" fontId="31" fillId="3" borderId="101" xfId="17" applyNumberFormat="1" applyFont="1" applyFill="1" applyBorder="1" applyProtection="1">
      <protection hidden="1"/>
    </xf>
    <xf numFmtId="169" fontId="34" fillId="3" borderId="101" xfId="9" applyNumberFormat="1" applyFont="1" applyFill="1" applyBorder="1" applyProtection="1">
      <protection hidden="1"/>
    </xf>
    <xf numFmtId="176" fontId="28" fillId="2" borderId="101" xfId="17" applyNumberFormat="1" applyFont="1" applyFill="1" applyBorder="1" applyAlignment="1" applyProtection="1">
      <alignment horizontal="right"/>
      <protection hidden="1"/>
    </xf>
    <xf numFmtId="175" fontId="9" fillId="0" borderId="0" xfId="23" applyNumberFormat="1" applyFont="1" applyAlignment="1">
      <alignment horizontal="right"/>
    </xf>
    <xf numFmtId="175" fontId="9" fillId="0" borderId="0" xfId="23" applyNumberFormat="1" applyFont="1"/>
    <xf numFmtId="0" fontId="9" fillId="0" borderId="0" xfId="23" applyNumberFormat="1" applyFont="1"/>
    <xf numFmtId="175" fontId="9" fillId="0" borderId="0" xfId="23" applyNumberFormat="1" applyFont="1" applyBorder="1"/>
    <xf numFmtId="184" fontId="17" fillId="0" borderId="0" xfId="23" applyNumberFormat="1" applyFont="1"/>
    <xf numFmtId="0" fontId="9" fillId="0" borderId="20" xfId="26" applyNumberFormat="1" applyFont="1" applyBorder="1" applyAlignment="1">
      <alignment horizontal="left"/>
    </xf>
    <xf numFmtId="0" fontId="9" fillId="0" borderId="20" xfId="26" applyNumberFormat="1" applyFont="1" applyBorder="1"/>
    <xf numFmtId="3" fontId="26" fillId="0" borderId="0" xfId="26" applyNumberFormat="1" applyFont="1" applyBorder="1" applyAlignment="1">
      <alignment horizontal="center"/>
    </xf>
    <xf numFmtId="178" fontId="82" fillId="0" borderId="27" xfId="9" applyNumberFormat="1" applyFont="1" applyFill="1" applyBorder="1"/>
    <xf numFmtId="3" fontId="76" fillId="0" borderId="138" xfId="0" applyNumberFormat="1" applyFont="1" applyBorder="1"/>
    <xf numFmtId="165" fontId="84" fillId="0" borderId="21" xfId="0" applyNumberFormat="1" applyFont="1" applyBorder="1"/>
    <xf numFmtId="175" fontId="26" fillId="0" borderId="16" xfId="26" applyNumberFormat="1" applyFont="1" applyBorder="1" applyAlignment="1">
      <alignment horizontal="right"/>
    </xf>
    <xf numFmtId="178" fontId="26" fillId="0" borderId="21" xfId="9" applyNumberFormat="1" applyFont="1" applyFill="1" applyBorder="1"/>
    <xf numFmtId="175" fontId="27" fillId="0" borderId="57" xfId="26" applyNumberFormat="1" applyFont="1" applyBorder="1" applyAlignment="1">
      <alignment horizontal="right"/>
    </xf>
    <xf numFmtId="0" fontId="9" fillId="0" borderId="20" xfId="0" applyFont="1" applyBorder="1"/>
    <xf numFmtId="0" fontId="74" fillId="0" borderId="20" xfId="0" applyFont="1" applyBorder="1" applyAlignment="1">
      <alignment horizontal="left" indent="1"/>
    </xf>
    <xf numFmtId="178" fontId="76" fillId="0" borderId="56" xfId="0" applyNumberFormat="1" applyFont="1" applyBorder="1"/>
    <xf numFmtId="178" fontId="76" fillId="0" borderId="57" xfId="0" applyNumberFormat="1" applyFont="1" applyBorder="1"/>
    <xf numFmtId="9" fontId="9" fillId="0" borderId="0" xfId="9" applyFont="1" applyBorder="1"/>
    <xf numFmtId="178" fontId="9" fillId="0" borderId="0" xfId="26" applyNumberFormat="1" applyFont="1" applyBorder="1"/>
    <xf numFmtId="41" fontId="76" fillId="0" borderId="56" xfId="0" applyNumberFormat="1" applyFont="1" applyBorder="1"/>
    <xf numFmtId="178" fontId="26" fillId="0" borderId="0" xfId="26" applyNumberFormat="1" applyFont="1" applyBorder="1" applyAlignment="1">
      <alignment horizontal="center"/>
    </xf>
    <xf numFmtId="0" fontId="9" fillId="0" borderId="0" xfId="26" applyNumberFormat="1" applyFont="1" applyBorder="1" applyAlignment="1">
      <alignment horizontal="center"/>
    </xf>
    <xf numFmtId="41" fontId="76" fillId="0" borderId="21" xfId="0" applyNumberFormat="1" applyFont="1" applyBorder="1"/>
    <xf numFmtId="41" fontId="26" fillId="0" borderId="21" xfId="0" applyNumberFormat="1" applyFont="1" applyBorder="1"/>
    <xf numFmtId="0" fontId="28" fillId="0" borderId="16" xfId="1" applyFont="1" applyBorder="1" applyProtection="1">
      <protection hidden="1"/>
    </xf>
    <xf numFmtId="169" fontId="36" fillId="0" borderId="21" xfId="9" applyNumberFormat="1" applyFont="1" applyFill="1" applyBorder="1" applyProtection="1">
      <protection hidden="1"/>
    </xf>
    <xf numFmtId="176" fontId="10" fillId="0" borderId="57" xfId="17" applyNumberFormat="1" applyFont="1" applyBorder="1" applyProtection="1">
      <protection hidden="1"/>
    </xf>
    <xf numFmtId="176" fontId="30" fillId="0" borderId="21" xfId="17" applyNumberFormat="1" applyFont="1" applyBorder="1" applyProtection="1">
      <protection hidden="1"/>
    </xf>
    <xf numFmtId="176" fontId="55" fillId="0" borderId="57" xfId="17" applyNumberFormat="1" applyFont="1" applyBorder="1" applyProtection="1">
      <protection hidden="1"/>
    </xf>
    <xf numFmtId="176" fontId="9" fillId="0" borderId="0" xfId="17" applyNumberFormat="1" applyFont="1" applyProtection="1">
      <protection hidden="1"/>
    </xf>
    <xf numFmtId="176" fontId="9" fillId="0" borderId="21" xfId="17" applyNumberFormat="1" applyFont="1" applyBorder="1" applyProtection="1">
      <protection hidden="1"/>
    </xf>
    <xf numFmtId="176" fontId="9" fillId="0" borderId="56" xfId="17" applyNumberFormat="1" applyFont="1" applyBorder="1" applyProtection="1">
      <protection hidden="1"/>
    </xf>
    <xf numFmtId="176" fontId="9" fillId="0" borderId="57" xfId="17" applyNumberFormat="1" applyFont="1" applyBorder="1" applyProtection="1">
      <protection hidden="1"/>
    </xf>
    <xf numFmtId="176" fontId="9" fillId="0" borderId="0" xfId="17" applyNumberFormat="1" applyFont="1" applyAlignment="1" applyProtection="1">
      <alignment horizontal="right"/>
      <protection hidden="1"/>
    </xf>
    <xf numFmtId="176" fontId="9" fillId="0" borderId="21" xfId="17" applyNumberFormat="1" applyFont="1" applyBorder="1" applyAlignment="1" applyProtection="1">
      <alignment horizontal="right"/>
      <protection hidden="1"/>
    </xf>
    <xf numFmtId="176" fontId="9" fillId="0" borderId="103" xfId="17" applyNumberFormat="1" applyFont="1" applyBorder="1" applyAlignment="1" applyProtection="1">
      <alignment horizontal="right"/>
      <protection hidden="1"/>
    </xf>
    <xf numFmtId="178" fontId="80" fillId="17" borderId="70" xfId="0" applyNumberFormat="1" applyFont="1" applyFill="1" applyBorder="1"/>
    <xf numFmtId="178" fontId="80" fillId="17" borderId="0" xfId="0" applyNumberFormat="1" applyFont="1" applyFill="1"/>
    <xf numFmtId="169" fontId="80" fillId="17" borderId="103" xfId="9" applyNumberFormat="1" applyFont="1" applyFill="1" applyBorder="1"/>
    <xf numFmtId="175" fontId="87" fillId="0" borderId="0" xfId="23" applyNumberFormat="1" applyFont="1" applyAlignment="1">
      <alignment horizontal="right"/>
    </xf>
    <xf numFmtId="3" fontId="27" fillId="0" borderId="0" xfId="26" applyNumberFormat="1" applyFont="1" applyBorder="1" applyAlignment="1">
      <alignment horizontal="center"/>
    </xf>
    <xf numFmtId="0" fontId="26" fillId="0" borderId="0" xfId="26" applyNumberFormat="1" applyFont="1" applyBorder="1"/>
    <xf numFmtId="167" fontId="76" fillId="0" borderId="0" xfId="0" applyNumberFormat="1" applyFont="1"/>
    <xf numFmtId="0" fontId="26" fillId="0" borderId="17" xfId="0" applyFont="1" applyBorder="1"/>
    <xf numFmtId="0" fontId="26" fillId="0" borderId="18" xfId="0" applyFont="1" applyBorder="1"/>
    <xf numFmtId="0" fontId="26" fillId="0" borderId="19" xfId="0" applyFont="1" applyBorder="1"/>
    <xf numFmtId="14" fontId="17" fillId="0" borderId="16" xfId="23" applyNumberFormat="1" applyFont="1" applyBorder="1" applyAlignment="1">
      <alignment horizontal="right"/>
    </xf>
    <xf numFmtId="14" fontId="17" fillId="0" borderId="21" xfId="23" applyNumberFormat="1" applyFont="1" applyBorder="1" applyAlignment="1">
      <alignment horizontal="right"/>
    </xf>
    <xf numFmtId="178" fontId="28" fillId="2" borderId="21" xfId="23" applyNumberFormat="1" applyFont="1" applyFill="1" applyBorder="1" applyAlignment="1">
      <alignment horizontal="right" vertical="center"/>
    </xf>
    <xf numFmtId="178" fontId="23" fillId="2" borderId="16" xfId="23" applyNumberFormat="1" applyFont="1" applyFill="1" applyBorder="1" applyAlignment="1">
      <alignment horizontal="right" vertical="center"/>
    </xf>
    <xf numFmtId="178" fontId="23" fillId="2" borderId="57" xfId="23" applyNumberFormat="1" applyFont="1" applyFill="1" applyBorder="1" applyAlignment="1">
      <alignment horizontal="right" vertical="center"/>
    </xf>
    <xf numFmtId="184" fontId="26" fillId="0" borderId="24" xfId="23" applyNumberFormat="1" applyFont="1" applyBorder="1"/>
    <xf numFmtId="0" fontId="26" fillId="0" borderId="139" xfId="0" applyFont="1" applyBorder="1"/>
    <xf numFmtId="178" fontId="16" fillId="0" borderId="101" xfId="9" applyNumberFormat="1" applyFont="1" applyFill="1" applyBorder="1"/>
    <xf numFmtId="3" fontId="9" fillId="0" borderId="0" xfId="9" applyNumberFormat="1" applyFont="1" applyBorder="1"/>
    <xf numFmtId="0" fontId="26" fillId="0" borderId="15" xfId="9" applyNumberFormat="1" applyFont="1" applyBorder="1"/>
    <xf numFmtId="0" fontId="8" fillId="0" borderId="14" xfId="26" applyNumberFormat="1" applyFont="1" applyBorder="1"/>
    <xf numFmtId="0" fontId="8" fillId="0" borderId="15" xfId="26" applyNumberFormat="1" applyFont="1" applyBorder="1"/>
    <xf numFmtId="0" fontId="8" fillId="0" borderId="15" xfId="26" applyNumberFormat="1" applyFont="1" applyBorder="1" applyAlignment="1">
      <alignment horizontal="center"/>
    </xf>
    <xf numFmtId="0" fontId="8" fillId="0" borderId="0" xfId="26" applyNumberFormat="1" applyFont="1" applyBorder="1"/>
    <xf numFmtId="0" fontId="8" fillId="0" borderId="0" xfId="26" applyNumberFormat="1" applyFont="1" applyBorder="1" applyAlignment="1">
      <alignment horizontal="center"/>
    </xf>
    <xf numFmtId="0" fontId="8" fillId="0" borderId="130" xfId="26" applyNumberFormat="1" applyFont="1" applyBorder="1"/>
    <xf numFmtId="0" fontId="8" fillId="0" borderId="56" xfId="26" applyNumberFormat="1" applyFont="1" applyBorder="1"/>
    <xf numFmtId="0" fontId="8" fillId="0" borderId="56" xfId="26" applyNumberFormat="1" applyFont="1" applyBorder="1" applyAlignment="1">
      <alignment horizontal="center"/>
    </xf>
    <xf numFmtId="0" fontId="8" fillId="0" borderId="15" xfId="26" applyNumberFormat="1" applyFont="1" applyFill="1" applyBorder="1"/>
    <xf numFmtId="0" fontId="8" fillId="0" borderId="15" xfId="26" applyNumberFormat="1" applyFont="1" applyFill="1" applyBorder="1" applyAlignment="1">
      <alignment horizontal="center"/>
    </xf>
    <xf numFmtId="0" fontId="8" fillId="0" borderId="20" xfId="26" applyNumberFormat="1" applyFont="1" applyBorder="1" applyAlignment="1">
      <alignment horizontal="left"/>
    </xf>
    <xf numFmtId="0" fontId="8" fillId="0" borderId="0" xfId="26" applyNumberFormat="1" applyFont="1" applyFill="1" applyBorder="1"/>
    <xf numFmtId="3" fontId="8" fillId="0" borderId="20" xfId="0" applyNumberFormat="1" applyFont="1" applyBorder="1"/>
    <xf numFmtId="0" fontId="8" fillId="0" borderId="20" xfId="26" applyNumberFormat="1" applyFont="1" applyBorder="1"/>
    <xf numFmtId="0" fontId="8" fillId="0" borderId="55" xfId="26" applyNumberFormat="1" applyFont="1" applyBorder="1"/>
    <xf numFmtId="0" fontId="8" fillId="0" borderId="20" xfId="0" applyFont="1" applyBorder="1"/>
    <xf numFmtId="0" fontId="26" fillId="0" borderId="57" xfId="0" applyFont="1" applyBorder="1"/>
    <xf numFmtId="166" fontId="26" fillId="0" borderId="16" xfId="0" applyNumberFormat="1" applyFont="1" applyBorder="1"/>
    <xf numFmtId="166" fontId="76" fillId="0" borderId="57" xfId="0" applyNumberFormat="1" applyFont="1" applyBorder="1"/>
    <xf numFmtId="166" fontId="31" fillId="3" borderId="56" xfId="17" applyNumberFormat="1" applyFont="1" applyFill="1" applyBorder="1" applyProtection="1">
      <protection hidden="1"/>
    </xf>
    <xf numFmtId="0" fontId="57" fillId="3" borderId="55" xfId="17" applyFont="1" applyFill="1" applyBorder="1" applyProtection="1">
      <protection hidden="1"/>
    </xf>
    <xf numFmtId="0" fontId="23" fillId="2" borderId="0" xfId="17" applyFont="1" applyFill="1" applyAlignment="1" applyProtection="1">
      <alignment horizontal="center"/>
      <protection hidden="1"/>
    </xf>
    <xf numFmtId="3" fontId="68" fillId="3" borderId="0" xfId="1" applyNumberFormat="1" applyFont="1" applyFill="1" applyProtection="1">
      <protection hidden="1"/>
    </xf>
    <xf numFmtId="165" fontId="68" fillId="3" borderId="0" xfId="1" applyNumberFormat="1" applyFont="1" applyFill="1" applyProtection="1">
      <protection hidden="1"/>
    </xf>
    <xf numFmtId="4" fontId="28" fillId="2" borderId="140" xfId="0" applyNumberFormat="1" applyFont="1" applyFill="1" applyBorder="1" applyAlignment="1">
      <alignment horizontal="left" vertical="center"/>
    </xf>
    <xf numFmtId="178" fontId="27" fillId="0" borderId="0" xfId="9" applyNumberFormat="1" applyFont="1" applyFill="1" applyBorder="1"/>
    <xf numFmtId="178" fontId="27" fillId="0" borderId="21" xfId="9" applyNumberFormat="1" applyFont="1" applyFill="1" applyBorder="1"/>
    <xf numFmtId="178" fontId="30" fillId="0" borderId="138" xfId="9" applyNumberFormat="1" applyFont="1" applyFill="1" applyBorder="1"/>
    <xf numFmtId="178" fontId="26" fillId="0" borderId="21" xfId="26" applyNumberFormat="1" applyFont="1" applyBorder="1"/>
    <xf numFmtId="178" fontId="15" fillId="0" borderId="21" xfId="26" applyNumberFormat="1" applyFont="1" applyBorder="1"/>
    <xf numFmtId="178" fontId="26" fillId="0" borderId="57" xfId="0" applyNumberFormat="1" applyFont="1" applyBorder="1"/>
    <xf numFmtId="3" fontId="9" fillId="6" borderId="145" xfId="9" applyNumberFormat="1" applyFont="1" applyFill="1" applyBorder="1"/>
    <xf numFmtId="3" fontId="9" fillId="6" borderId="146" xfId="9" applyNumberFormat="1" applyFont="1" applyFill="1" applyBorder="1"/>
    <xf numFmtId="41" fontId="76" fillId="0" borderId="57" xfId="0" applyNumberFormat="1" applyFont="1" applyBorder="1"/>
    <xf numFmtId="0" fontId="26" fillId="3" borderId="0" xfId="0" applyFont="1" applyFill="1"/>
    <xf numFmtId="0" fontId="26" fillId="3" borderId="21" xfId="0" applyFont="1" applyFill="1" applyBorder="1"/>
    <xf numFmtId="3" fontId="26" fillId="3" borderId="20" xfId="0" applyNumberFormat="1" applyFont="1" applyFill="1" applyBorder="1"/>
    <xf numFmtId="176" fontId="8" fillId="0" borderId="0" xfId="17" applyNumberFormat="1" applyFont="1" applyProtection="1">
      <protection hidden="1"/>
    </xf>
    <xf numFmtId="176" fontId="8" fillId="0" borderId="21" xfId="17" applyNumberFormat="1" applyFont="1" applyBorder="1" applyProtection="1">
      <protection hidden="1"/>
    </xf>
    <xf numFmtId="0" fontId="25" fillId="0" borderId="21" xfId="1" applyFont="1" applyBorder="1" applyProtection="1">
      <protection hidden="1"/>
    </xf>
    <xf numFmtId="176" fontId="10" fillId="0" borderId="21" xfId="17" applyNumberFormat="1" applyFont="1" applyBorder="1" applyProtection="1">
      <protection hidden="1"/>
    </xf>
    <xf numFmtId="176" fontId="36" fillId="0" borderId="21" xfId="17" applyNumberFormat="1" applyFont="1" applyBorder="1" applyProtection="1">
      <protection hidden="1"/>
    </xf>
    <xf numFmtId="176" fontId="26" fillId="0" borderId="57" xfId="17" applyNumberFormat="1" applyFont="1" applyBorder="1" applyProtection="1">
      <protection hidden="1"/>
    </xf>
    <xf numFmtId="175" fontId="14" fillId="0" borderId="21" xfId="26" applyNumberFormat="1" applyFont="1" applyBorder="1" applyAlignment="1">
      <alignment horizontal="right"/>
    </xf>
    <xf numFmtId="175" fontId="10" fillId="0" borderId="57" xfId="26" applyNumberFormat="1" applyFont="1" applyBorder="1" applyAlignment="1">
      <alignment horizontal="right"/>
    </xf>
    <xf numFmtId="175" fontId="26" fillId="0" borderId="21" xfId="26" applyNumberFormat="1" applyFont="1" applyBorder="1" applyAlignment="1">
      <alignment horizontal="right"/>
    </xf>
    <xf numFmtId="175" fontId="10" fillId="0" borderId="21" xfId="26" applyNumberFormat="1" applyFont="1" applyBorder="1" applyAlignment="1">
      <alignment horizontal="right"/>
    </xf>
    <xf numFmtId="175" fontId="10" fillId="0" borderId="138" xfId="26" applyNumberFormat="1" applyFont="1" applyBorder="1" applyAlignment="1">
      <alignment horizontal="right"/>
    </xf>
    <xf numFmtId="3" fontId="14" fillId="0" borderId="57" xfId="0" applyNumberFormat="1" applyFont="1" applyBorder="1" applyAlignment="1">
      <alignment horizontal="right"/>
    </xf>
    <xf numFmtId="169" fontId="31" fillId="3" borderId="0" xfId="9" applyNumberFormat="1" applyFont="1" applyFill="1" applyProtection="1">
      <protection hidden="1"/>
    </xf>
    <xf numFmtId="176" fontId="9" fillId="0" borderId="138" xfId="17" applyNumberFormat="1" applyFont="1" applyBorder="1" applyAlignment="1" applyProtection="1">
      <alignment horizontal="right"/>
      <protection hidden="1"/>
    </xf>
    <xf numFmtId="0" fontId="7" fillId="0" borderId="20" xfId="26" applyNumberFormat="1" applyFont="1" applyBorder="1"/>
    <xf numFmtId="0" fontId="60" fillId="11" borderId="0" xfId="0" applyFont="1" applyFill="1" applyAlignment="1">
      <alignment horizontal="center"/>
    </xf>
    <xf numFmtId="178" fontId="28" fillId="2" borderId="57" xfId="23" applyNumberFormat="1" applyFont="1" applyFill="1" applyBorder="1" applyAlignment="1">
      <alignment horizontal="right" vertical="center"/>
    </xf>
    <xf numFmtId="184" fontId="26" fillId="0" borderId="27" xfId="23" applyNumberFormat="1" applyFont="1" applyBorder="1"/>
    <xf numFmtId="3" fontId="76" fillId="18" borderId="0" xfId="0" applyNumberFormat="1" applyFont="1" applyFill="1"/>
    <xf numFmtId="0" fontId="23" fillId="2" borderId="18" xfId="17" applyFont="1" applyFill="1" applyBorder="1" applyAlignment="1" applyProtection="1">
      <alignment horizontal="center"/>
      <protection hidden="1"/>
    </xf>
    <xf numFmtId="0" fontId="23" fillId="2" borderId="19" xfId="17" applyFont="1" applyFill="1" applyBorder="1" applyAlignment="1" applyProtection="1">
      <alignment horizontal="center"/>
      <protection hidden="1"/>
    </xf>
    <xf numFmtId="0" fontId="23" fillId="2" borderId="141" xfId="17" applyFont="1" applyFill="1" applyBorder="1" applyAlignment="1" applyProtection="1">
      <alignment horizontal="center"/>
      <protection hidden="1"/>
    </xf>
    <xf numFmtId="0" fontId="93" fillId="0" borderId="0" xfId="6" applyFont="1"/>
    <xf numFmtId="0" fontId="22" fillId="11" borderId="18" xfId="26" applyNumberFormat="1" applyFont="1" applyFill="1" applyBorder="1" applyAlignment="1">
      <alignment horizontal="left" vertical="center"/>
    </xf>
    <xf numFmtId="0" fontId="22" fillId="11" borderId="15" xfId="26" applyNumberFormat="1" applyFont="1" applyFill="1" applyBorder="1" applyAlignment="1">
      <alignment horizontal="left" vertical="center"/>
    </xf>
    <xf numFmtId="0" fontId="6" fillId="0" borderId="14" xfId="26" applyNumberFormat="1" applyFont="1" applyBorder="1"/>
    <xf numFmtId="3" fontId="6" fillId="0" borderId="0" xfId="0" applyNumberFormat="1" applyFont="1"/>
    <xf numFmtId="4" fontId="76" fillId="0" borderId="0" xfId="0" applyNumberFormat="1" applyFont="1" applyAlignment="1">
      <alignment horizontal="center" vertical="center"/>
    </xf>
    <xf numFmtId="4" fontId="76" fillId="0" borderId="21" xfId="0" applyNumberFormat="1" applyFont="1" applyBorder="1" applyAlignment="1">
      <alignment horizontal="center" vertical="center"/>
    </xf>
    <xf numFmtId="169" fontId="82" fillId="0" borderId="0" xfId="9" applyNumberFormat="1" applyFont="1"/>
    <xf numFmtId="3" fontId="74" fillId="0" borderId="0" xfId="0" applyNumberFormat="1" applyFont="1"/>
    <xf numFmtId="3" fontId="6" fillId="0" borderId="21" xfId="0" applyNumberFormat="1" applyFont="1" applyBorder="1"/>
    <xf numFmtId="3" fontId="74" fillId="0" borderId="21" xfId="0" applyNumberFormat="1" applyFont="1" applyBorder="1"/>
    <xf numFmtId="0" fontId="6" fillId="0" borderId="20" xfId="26" applyNumberFormat="1" applyFont="1" applyBorder="1" applyAlignment="1">
      <alignment horizontal="left"/>
    </xf>
    <xf numFmtId="178" fontId="85" fillId="0" borderId="0" xfId="9" applyNumberFormat="1" applyFont="1" applyFill="1" applyBorder="1" applyAlignment="1">
      <alignment horizontal="right"/>
    </xf>
    <xf numFmtId="3" fontId="74" fillId="0" borderId="20" xfId="0" applyNumberFormat="1" applyFont="1" applyBorder="1" applyAlignment="1">
      <alignment horizontal="left" indent="1"/>
    </xf>
    <xf numFmtId="3" fontId="74" fillId="0" borderId="55" xfId="0" applyNumberFormat="1" applyFont="1" applyBorder="1" applyAlignment="1">
      <alignment horizontal="left" indent="1"/>
    </xf>
    <xf numFmtId="0" fontId="5" fillId="0" borderId="20" xfId="26" applyNumberFormat="1" applyFont="1" applyBorder="1"/>
    <xf numFmtId="0" fontId="5" fillId="0" borderId="55" xfId="26" applyNumberFormat="1" applyFont="1" applyBorder="1"/>
    <xf numFmtId="0" fontId="76" fillId="17" borderId="69" xfId="0" applyFont="1" applyFill="1" applyBorder="1"/>
    <xf numFmtId="0" fontId="76" fillId="17" borderId="20" xfId="0" applyFont="1" applyFill="1" applyBorder="1"/>
    <xf numFmtId="0" fontId="76" fillId="17" borderId="140" xfId="0" applyFont="1" applyFill="1" applyBorder="1"/>
    <xf numFmtId="176" fontId="26" fillId="0" borderId="16" xfId="17" applyNumberFormat="1" applyFont="1" applyBorder="1" applyProtection="1">
      <protection hidden="1"/>
    </xf>
    <xf numFmtId="0" fontId="30" fillId="6" borderId="147" xfId="26" applyNumberFormat="1" applyFont="1" applyFill="1" applyBorder="1"/>
    <xf numFmtId="0" fontId="90" fillId="0" borderId="20" xfId="29" applyNumberFormat="1" applyFont="1" applyBorder="1" applyAlignment="1">
      <alignment horizontal="left"/>
    </xf>
    <xf numFmtId="3" fontId="6" fillId="0" borderId="20" xfId="0" applyNumberFormat="1" applyFont="1" applyBorder="1"/>
    <xf numFmtId="3" fontId="6" fillId="0" borderId="20" xfId="0" applyNumberFormat="1" applyFont="1" applyBorder="1" applyAlignment="1">
      <alignment horizontal="left"/>
    </xf>
    <xf numFmtId="3" fontId="82" fillId="0" borderId="56" xfId="0" applyNumberFormat="1" applyFont="1" applyBorder="1" applyAlignment="1">
      <alignment horizontal="right"/>
    </xf>
    <xf numFmtId="169" fontId="76" fillId="0" borderId="57" xfId="9" applyNumberFormat="1" applyFont="1" applyBorder="1"/>
    <xf numFmtId="0" fontId="5" fillId="0" borderId="20" xfId="0" applyFont="1" applyBorder="1"/>
    <xf numFmtId="0" fontId="5" fillId="0" borderId="55" xfId="0" applyFont="1" applyBorder="1"/>
    <xf numFmtId="178" fontId="80" fillId="0" borderId="56" xfId="0" applyNumberFormat="1" applyFont="1" applyBorder="1"/>
    <xf numFmtId="169" fontId="31" fillId="0" borderId="18" xfId="9" applyNumberFormat="1" applyFont="1" applyFill="1" applyBorder="1"/>
    <xf numFmtId="169" fontId="31" fillId="0" borderId="117" xfId="9" applyNumberFormat="1" applyFont="1" applyFill="1" applyBorder="1"/>
    <xf numFmtId="169" fontId="31" fillId="0" borderId="134" xfId="9" applyNumberFormat="1" applyFont="1" applyFill="1" applyBorder="1"/>
    <xf numFmtId="169" fontId="84" fillId="0" borderId="0" xfId="9" applyNumberFormat="1" applyFont="1"/>
    <xf numFmtId="3" fontId="30" fillId="0" borderId="21" xfId="9" applyNumberFormat="1" applyFont="1" applyFill="1" applyBorder="1"/>
    <xf numFmtId="0" fontId="5" fillId="0" borderId="20" xfId="23" applyNumberFormat="1" applyFont="1" applyFill="1" applyBorder="1"/>
    <xf numFmtId="176" fontId="30" fillId="3" borderId="21" xfId="17" applyNumberFormat="1" applyFont="1" applyFill="1" applyBorder="1" applyProtection="1">
      <protection hidden="1"/>
    </xf>
    <xf numFmtId="0" fontId="23" fillId="2" borderId="57" xfId="17" applyFont="1" applyFill="1" applyBorder="1" applyAlignment="1" applyProtection="1">
      <alignment horizontal="center"/>
      <protection hidden="1"/>
    </xf>
    <xf numFmtId="0" fontId="22" fillId="12" borderId="19" xfId="24" applyFont="1" applyFill="1" applyBorder="1" applyAlignment="1">
      <alignment horizontal="left" vertical="center"/>
    </xf>
    <xf numFmtId="0" fontId="60" fillId="13" borderId="0" xfId="0" applyFont="1" applyFill="1" applyAlignment="1">
      <alignment horizontal="center" vertical="center"/>
    </xf>
    <xf numFmtId="187" fontId="94" fillId="13" borderId="0" xfId="0" applyNumberFormat="1" applyFont="1" applyFill="1" applyAlignment="1">
      <alignment horizontal="center" vertical="center"/>
    </xf>
    <xf numFmtId="187" fontId="74" fillId="0" borderId="56" xfId="0" applyNumberFormat="1" applyFont="1" applyBorder="1" applyAlignment="1">
      <alignment horizontal="center" vertical="center"/>
    </xf>
    <xf numFmtId="169" fontId="80" fillId="0" borderId="0" xfId="9" applyNumberFormat="1" applyFont="1"/>
    <xf numFmtId="0" fontId="4" fillId="0" borderId="20" xfId="26" applyNumberFormat="1" applyFont="1" applyBorder="1" applyAlignment="1">
      <alignment horizontal="left"/>
    </xf>
    <xf numFmtId="3" fontId="57" fillId="0" borderId="55" xfId="0" applyNumberFormat="1" applyFont="1" applyBorder="1"/>
    <xf numFmtId="176" fontId="4" fillId="0" borderId="0" xfId="8" applyNumberFormat="1" applyFont="1" applyAlignment="1">
      <alignment horizontal="right" vertical="center" wrapText="1"/>
    </xf>
    <xf numFmtId="176" fontId="4" fillId="0" borderId="56" xfId="8" applyNumberFormat="1" applyFont="1" applyBorder="1" applyAlignment="1">
      <alignment horizontal="right" vertical="center" wrapText="1"/>
    </xf>
    <xf numFmtId="176" fontId="4" fillId="0" borderId="57" xfId="8" applyNumberFormat="1" applyFont="1" applyBorder="1" applyAlignment="1">
      <alignment horizontal="right" vertical="center" wrapText="1"/>
    </xf>
    <xf numFmtId="176" fontId="26" fillId="0" borderId="21" xfId="8" applyNumberFormat="1" applyFont="1" applyBorder="1" applyAlignment="1">
      <alignment horizontal="right" vertical="center" wrapText="1"/>
    </xf>
    <xf numFmtId="3" fontId="76" fillId="0" borderId="26" xfId="0" applyNumberFormat="1" applyFont="1" applyBorder="1"/>
    <xf numFmtId="176" fontId="4" fillId="0" borderId="26" xfId="8" applyNumberFormat="1" applyFont="1" applyBorder="1" applyAlignment="1">
      <alignment horizontal="right" vertical="center" wrapText="1"/>
    </xf>
    <xf numFmtId="3" fontId="76" fillId="0" borderId="25" xfId="0" applyNumberFormat="1" applyFont="1" applyBorder="1"/>
    <xf numFmtId="176" fontId="26" fillId="0" borderId="57" xfId="8" applyNumberFormat="1" applyFont="1" applyBorder="1" applyAlignment="1">
      <alignment horizontal="right" vertical="center" wrapText="1"/>
    </xf>
    <xf numFmtId="176" fontId="26" fillId="0" borderId="27" xfId="8" applyNumberFormat="1" applyFont="1" applyBorder="1" applyAlignment="1">
      <alignment horizontal="right" vertical="center" wrapText="1"/>
    </xf>
    <xf numFmtId="187" fontId="74" fillId="0" borderId="55" xfId="0" applyNumberFormat="1" applyFont="1" applyBorder="1" applyAlignment="1">
      <alignment horizontal="center" vertical="center"/>
    </xf>
    <xf numFmtId="169" fontId="80" fillId="0" borderId="20" xfId="9" applyNumberFormat="1" applyFont="1" applyBorder="1"/>
    <xf numFmtId="176" fontId="4" fillId="0" borderId="20" xfId="8" applyNumberFormat="1" applyFont="1" applyBorder="1" applyAlignment="1">
      <alignment horizontal="right" vertical="center" wrapText="1"/>
    </xf>
    <xf numFmtId="3" fontId="76" fillId="0" borderId="56" xfId="0" applyNumberFormat="1" applyFont="1" applyBorder="1" applyAlignment="1">
      <alignment horizontal="right"/>
    </xf>
    <xf numFmtId="169" fontId="80" fillId="0" borderId="55" xfId="9" applyNumberFormat="1" applyFont="1" applyBorder="1"/>
    <xf numFmtId="169" fontId="80" fillId="0" borderId="56" xfId="9" applyNumberFormat="1" applyFont="1" applyBorder="1"/>
    <xf numFmtId="187" fontId="74" fillId="0" borderId="57" xfId="0" applyNumberFormat="1" applyFont="1" applyBorder="1" applyAlignment="1">
      <alignment horizontal="center" vertical="center"/>
    </xf>
    <xf numFmtId="176" fontId="4" fillId="0" borderId="21" xfId="8" applyNumberFormat="1" applyFont="1" applyBorder="1" applyAlignment="1">
      <alignment horizontal="right" vertical="center" wrapText="1"/>
    </xf>
    <xf numFmtId="169" fontId="80" fillId="0" borderId="57" xfId="9" applyNumberFormat="1" applyFont="1" applyBorder="1"/>
    <xf numFmtId="3" fontId="76" fillId="0" borderId="27" xfId="0" applyNumberFormat="1" applyFont="1" applyBorder="1"/>
    <xf numFmtId="176" fontId="4" fillId="0" borderId="27" xfId="8" applyNumberFormat="1" applyFont="1" applyBorder="1" applyAlignment="1">
      <alignment horizontal="right" vertical="center" wrapText="1"/>
    </xf>
    <xf numFmtId="0" fontId="26" fillId="0" borderId="58" xfId="0" applyFont="1" applyBorder="1"/>
    <xf numFmtId="3" fontId="26" fillId="0" borderId="49" xfId="0" applyNumberFormat="1" applyFont="1" applyBorder="1"/>
    <xf numFmtId="176" fontId="26" fillId="0" borderId="49" xfId="8" applyNumberFormat="1" applyFont="1" applyBorder="1" applyAlignment="1">
      <alignment horizontal="right" vertical="center" wrapText="1"/>
    </xf>
    <xf numFmtId="176" fontId="26" fillId="0" borderId="58" xfId="8" applyNumberFormat="1" applyFont="1" applyBorder="1" applyAlignment="1">
      <alignment horizontal="right" vertical="center" wrapText="1"/>
    </xf>
    <xf numFmtId="176" fontId="26" fillId="0" borderId="148" xfId="8" applyNumberFormat="1" applyFont="1" applyBorder="1" applyAlignment="1">
      <alignment horizontal="right" vertical="center" wrapText="1"/>
    </xf>
    <xf numFmtId="3" fontId="76" fillId="0" borderId="49" xfId="0" applyNumberFormat="1" applyFont="1" applyBorder="1"/>
    <xf numFmtId="169" fontId="76" fillId="0" borderId="49" xfId="9" applyNumberFormat="1" applyFont="1" applyBorder="1"/>
    <xf numFmtId="169" fontId="76" fillId="0" borderId="58" xfId="9" applyNumberFormat="1" applyFont="1" applyBorder="1"/>
    <xf numFmtId="14" fontId="26" fillId="0" borderId="141" xfId="26" applyNumberFormat="1" applyFont="1" applyBorder="1" applyAlignment="1">
      <alignment horizontal="right"/>
    </xf>
    <xf numFmtId="0" fontId="26" fillId="0" borderId="15" xfId="26" applyNumberFormat="1" applyFont="1" applyBorder="1"/>
    <xf numFmtId="0" fontId="26" fillId="0" borderId="18" xfId="26" applyNumberFormat="1" applyFont="1" applyBorder="1"/>
    <xf numFmtId="0" fontId="14" fillId="0" borderId="0" xfId="26" applyNumberFormat="1" applyFont="1" applyBorder="1" applyAlignment="1">
      <alignment horizontal="left" indent="1"/>
    </xf>
    <xf numFmtId="0" fontId="14" fillId="0" borderId="56" xfId="26" applyNumberFormat="1" applyFont="1" applyBorder="1" applyAlignment="1">
      <alignment horizontal="left" indent="1"/>
    </xf>
    <xf numFmtId="0" fontId="14" fillId="0" borderId="56" xfId="26" applyNumberFormat="1" applyFont="1" applyBorder="1"/>
    <xf numFmtId="0" fontId="14" fillId="0" borderId="0" xfId="26" applyNumberFormat="1" applyFont="1" applyBorder="1"/>
    <xf numFmtId="0" fontId="13" fillId="0" borderId="0" xfId="26" applyNumberFormat="1" applyFont="1" applyBorder="1"/>
    <xf numFmtId="3" fontId="76" fillId="0" borderId="149" xfId="0" applyNumberFormat="1" applyFont="1" applyBorder="1"/>
    <xf numFmtId="3" fontId="76" fillId="0" borderId="136" xfId="0" applyNumberFormat="1" applyFont="1" applyBorder="1"/>
    <xf numFmtId="3" fontId="74" fillId="0" borderId="101" xfId="0" applyNumberFormat="1" applyFont="1" applyBorder="1"/>
    <xf numFmtId="3" fontId="76" fillId="0" borderId="137" xfId="0" applyNumberFormat="1" applyFont="1" applyBorder="1"/>
    <xf numFmtId="3" fontId="26" fillId="0" borderId="149" xfId="0" applyNumberFormat="1" applyFont="1" applyBorder="1"/>
    <xf numFmtId="3" fontId="76" fillId="0" borderId="6" xfId="0" applyNumberFormat="1" applyFont="1" applyBorder="1"/>
    <xf numFmtId="176" fontId="74" fillId="0" borderId="0" xfId="17" applyNumberFormat="1" applyFont="1" applyProtection="1">
      <protection hidden="1"/>
    </xf>
    <xf numFmtId="175" fontId="26" fillId="0" borderId="103" xfId="26" applyNumberFormat="1" applyFont="1" applyBorder="1" applyAlignment="1">
      <alignment horizontal="right"/>
    </xf>
    <xf numFmtId="175" fontId="3" fillId="0" borderId="0" xfId="26" applyNumberFormat="1" applyFont="1" applyBorder="1" applyAlignment="1">
      <alignment horizontal="right"/>
    </xf>
    <xf numFmtId="3" fontId="26" fillId="0" borderId="102" xfId="0" applyNumberFormat="1" applyFont="1" applyBorder="1"/>
    <xf numFmtId="175" fontId="74" fillId="0" borderId="0" xfId="26" applyNumberFormat="1" applyFont="1" applyBorder="1" applyAlignment="1">
      <alignment horizontal="right"/>
    </xf>
    <xf numFmtId="3" fontId="26" fillId="0" borderId="101" xfId="0" applyNumberFormat="1" applyFont="1" applyBorder="1"/>
    <xf numFmtId="169" fontId="74" fillId="0" borderId="101" xfId="9" applyNumberFormat="1" applyFont="1" applyFill="1" applyBorder="1" applyProtection="1">
      <protection hidden="1"/>
    </xf>
    <xf numFmtId="176" fontId="74" fillId="0" borderId="101" xfId="17" applyNumberFormat="1" applyFont="1" applyBorder="1" applyProtection="1">
      <protection hidden="1"/>
    </xf>
    <xf numFmtId="175" fontId="26" fillId="0" borderId="78" xfId="26" applyNumberFormat="1" applyFont="1" applyBorder="1" applyAlignment="1">
      <alignment horizontal="right"/>
    </xf>
    <xf numFmtId="3" fontId="26" fillId="0" borderId="108" xfId="0" applyNumberFormat="1" applyFont="1" applyBorder="1"/>
    <xf numFmtId="175" fontId="3" fillId="0" borderId="101" xfId="26" applyNumberFormat="1" applyFont="1" applyBorder="1" applyAlignment="1">
      <alignment horizontal="right"/>
    </xf>
    <xf numFmtId="175" fontId="74" fillId="0" borderId="101" xfId="26" applyNumberFormat="1" applyFont="1" applyBorder="1" applyAlignment="1">
      <alignment horizontal="right"/>
    </xf>
    <xf numFmtId="175" fontId="3" fillId="0" borderId="56" xfId="26" applyNumberFormat="1" applyFont="1" applyBorder="1" applyAlignment="1">
      <alignment horizontal="right"/>
    </xf>
    <xf numFmtId="0" fontId="31" fillId="2" borderId="151" xfId="26" applyNumberFormat="1" applyFont="1" applyFill="1" applyBorder="1" applyAlignment="1">
      <alignment horizontal="left" vertical="center"/>
    </xf>
    <xf numFmtId="3" fontId="76" fillId="0" borderId="153" xfId="0" applyNumberFormat="1" applyFont="1" applyBorder="1"/>
    <xf numFmtId="3" fontId="26" fillId="0" borderId="152" xfId="0" applyNumberFormat="1" applyFont="1" applyBorder="1"/>
    <xf numFmtId="3" fontId="74" fillId="0" borderId="152" xfId="0" applyNumberFormat="1" applyFont="1" applyBorder="1"/>
    <xf numFmtId="0" fontId="31" fillId="2" borderId="152" xfId="26" applyNumberFormat="1" applyFont="1" applyFill="1" applyBorder="1" applyAlignment="1">
      <alignment horizontal="left" vertical="center"/>
    </xf>
    <xf numFmtId="3" fontId="57" fillId="0" borderId="152" xfId="0" applyNumberFormat="1" applyFont="1" applyBorder="1"/>
    <xf numFmtId="0" fontId="28" fillId="2" borderId="152" xfId="26" applyNumberFormat="1" applyFont="1" applyFill="1" applyBorder="1" applyAlignment="1">
      <alignment horizontal="left" vertical="center"/>
    </xf>
    <xf numFmtId="0" fontId="28" fillId="2" borderId="154" xfId="26" applyNumberFormat="1" applyFont="1" applyFill="1" applyBorder="1" applyAlignment="1">
      <alignment horizontal="left" vertical="center"/>
    </xf>
    <xf numFmtId="0" fontId="28" fillId="2" borderId="153" xfId="26" applyNumberFormat="1" applyFont="1" applyFill="1" applyBorder="1" applyAlignment="1">
      <alignment horizontal="left" vertical="center"/>
    </xf>
    <xf numFmtId="0" fontId="34" fillId="2" borderId="152" xfId="26" applyNumberFormat="1" applyFont="1" applyFill="1" applyBorder="1" applyAlignment="1">
      <alignment horizontal="left" vertical="center"/>
    </xf>
    <xf numFmtId="0" fontId="23" fillId="2" borderId="155" xfId="26" applyNumberFormat="1" applyFont="1" applyFill="1" applyBorder="1" applyAlignment="1">
      <alignment horizontal="left" vertical="center"/>
    </xf>
    <xf numFmtId="175" fontId="3" fillId="0" borderId="137" xfId="26" applyNumberFormat="1" applyFont="1" applyBorder="1" applyAlignment="1">
      <alignment horizontal="right"/>
    </xf>
    <xf numFmtId="3" fontId="26" fillId="0" borderId="150" xfId="0" applyNumberFormat="1" applyFont="1" applyBorder="1"/>
    <xf numFmtId="0" fontId="26" fillId="0" borderId="139" xfId="9" applyNumberFormat="1" applyFont="1" applyBorder="1"/>
    <xf numFmtId="3" fontId="9" fillId="0" borderId="101" xfId="9" applyNumberFormat="1" applyFont="1" applyBorder="1"/>
    <xf numFmtId="0" fontId="31" fillId="2" borderId="157" xfId="26" applyNumberFormat="1" applyFont="1" applyFill="1" applyBorder="1" applyAlignment="1">
      <alignment horizontal="left" vertical="center"/>
    </xf>
    <xf numFmtId="3" fontId="74" fillId="0" borderId="6" xfId="0" applyNumberFormat="1" applyFont="1" applyBorder="1" applyAlignment="1">
      <alignment horizontal="left" indent="1"/>
    </xf>
    <xf numFmtId="0" fontId="31" fillId="2" borderId="6" xfId="26" applyNumberFormat="1" applyFont="1" applyFill="1" applyBorder="1" applyAlignment="1">
      <alignment horizontal="left" vertical="center"/>
    </xf>
    <xf numFmtId="3" fontId="57" fillId="0" borderId="6" xfId="0" applyNumberFormat="1" applyFont="1" applyBorder="1"/>
    <xf numFmtId="0" fontId="28" fillId="2" borderId="6" xfId="26" applyNumberFormat="1" applyFont="1" applyFill="1" applyBorder="1" applyAlignment="1">
      <alignment horizontal="left" vertical="center"/>
    </xf>
    <xf numFmtId="0" fontId="34" fillId="2" borderId="6" xfId="26" applyNumberFormat="1" applyFont="1" applyFill="1" applyBorder="1" applyAlignment="1">
      <alignment horizontal="left" vertical="center" indent="1"/>
    </xf>
    <xf numFmtId="0" fontId="28" fillId="2" borderId="102" xfId="26" applyNumberFormat="1" applyFont="1" applyFill="1" applyBorder="1" applyAlignment="1">
      <alignment horizontal="left" vertical="center"/>
    </xf>
    <xf numFmtId="3" fontId="26" fillId="0" borderId="6" xfId="0" applyNumberFormat="1" applyFont="1" applyBorder="1"/>
    <xf numFmtId="0" fontId="28" fillId="2" borderId="136" xfId="26" applyNumberFormat="1" applyFont="1" applyFill="1" applyBorder="1" applyAlignment="1">
      <alignment horizontal="left" vertical="center"/>
    </xf>
    <xf numFmtId="0" fontId="23" fillId="2" borderId="156" xfId="26" applyNumberFormat="1" applyFont="1" applyFill="1" applyBorder="1" applyAlignment="1">
      <alignment horizontal="left" vertical="center"/>
    </xf>
    <xf numFmtId="0" fontId="22" fillId="11" borderId="149" xfId="26" applyNumberFormat="1" applyFont="1" applyFill="1" applyBorder="1" applyAlignment="1">
      <alignment horizontal="left" vertical="center"/>
    </xf>
    <xf numFmtId="0" fontId="26" fillId="0" borderId="149" xfId="26" applyNumberFormat="1" applyFont="1" applyBorder="1"/>
    <xf numFmtId="0" fontId="3" fillId="0" borderId="6" xfId="26" applyNumberFormat="1" applyFont="1" applyBorder="1"/>
    <xf numFmtId="0" fontId="7" fillId="0" borderId="6" xfId="26" applyNumberFormat="1" applyFont="1" applyBorder="1"/>
    <xf numFmtId="0" fontId="74" fillId="0" borderId="6" xfId="26" applyNumberFormat="1" applyFont="1" applyBorder="1"/>
    <xf numFmtId="0" fontId="95" fillId="14" borderId="0" xfId="1" applyFont="1" applyFill="1" applyProtection="1">
      <protection hidden="1"/>
    </xf>
    <xf numFmtId="3" fontId="76" fillId="0" borderId="158" xfId="0" applyNumberFormat="1" applyFont="1" applyBorder="1"/>
    <xf numFmtId="3" fontId="74" fillId="0" borderId="152" xfId="0" applyNumberFormat="1" applyFont="1" applyBorder="1" applyAlignment="1">
      <alignment horizontal="left" indent="1"/>
    </xf>
    <xf numFmtId="3" fontId="2" fillId="0" borderId="152" xfId="0" applyNumberFormat="1" applyFont="1" applyBorder="1"/>
    <xf numFmtId="3" fontId="26" fillId="0" borderId="154" xfId="0" applyNumberFormat="1" applyFont="1" applyBorder="1"/>
    <xf numFmtId="0" fontId="2" fillId="0" borderId="20" xfId="26" applyNumberFormat="1" applyFont="1" applyBorder="1"/>
    <xf numFmtId="3" fontId="2" fillId="0" borderId="20" xfId="0" applyNumberFormat="1" applyFont="1" applyBorder="1"/>
    <xf numFmtId="0" fontId="2" fillId="0" borderId="20" xfId="26" applyNumberFormat="1" applyFont="1" applyBorder="1" applyAlignment="1">
      <alignment horizontal="left"/>
    </xf>
    <xf numFmtId="3" fontId="26" fillId="0" borderId="58" xfId="0" applyNumberFormat="1" applyFont="1" applyBorder="1"/>
    <xf numFmtId="0" fontId="2" fillId="0" borderId="20" xfId="0" applyFont="1" applyBorder="1"/>
    <xf numFmtId="0" fontId="2" fillId="0" borderId="55" xfId="0" applyFont="1" applyBorder="1"/>
    <xf numFmtId="3" fontId="76" fillId="0" borderId="58" xfId="0" applyNumberFormat="1" applyFont="1" applyBorder="1"/>
    <xf numFmtId="3" fontId="26" fillId="0" borderId="152" xfId="0" applyNumberFormat="1" applyFont="1" applyBorder="1" applyAlignment="1">
      <alignment horizontal="left"/>
    </xf>
    <xf numFmtId="180" fontId="28" fillId="0" borderId="0" xfId="26" applyNumberFormat="1" applyFont="1" applyFill="1" applyBorder="1" applyAlignment="1">
      <alignment horizontal="right"/>
    </xf>
    <xf numFmtId="176" fontId="17" fillId="0" borderId="137" xfId="17" applyNumberFormat="1" applyFont="1" applyBorder="1" applyProtection="1">
      <protection hidden="1"/>
    </xf>
    <xf numFmtId="0" fontId="60" fillId="11" borderId="0" xfId="0" applyFont="1" applyFill="1" applyAlignment="1">
      <alignment horizontal="center" vertical="center"/>
    </xf>
    <xf numFmtId="0" fontId="96" fillId="0" borderId="0" xfId="0" applyFont="1" applyAlignment="1">
      <alignment horizontal="center" vertical="center" wrapText="1"/>
    </xf>
    <xf numFmtId="0" fontId="76" fillId="0" borderId="0" xfId="0" applyFont="1" applyAlignment="1">
      <alignment horizontal="center" vertical="center"/>
    </xf>
    <xf numFmtId="2" fontId="76" fillId="0" borderId="0" xfId="0" applyNumberFormat="1" applyFont="1"/>
    <xf numFmtId="0" fontId="97" fillId="0" borderId="0" xfId="29" applyFont="1"/>
    <xf numFmtId="176" fontId="74" fillId="0" borderId="103" xfId="17" applyNumberFormat="1" applyFont="1" applyBorder="1" applyProtection="1">
      <protection hidden="1"/>
    </xf>
    <xf numFmtId="176" fontId="74" fillId="0" borderId="78" xfId="17" applyNumberFormat="1" applyFont="1" applyBorder="1" applyProtection="1">
      <protection hidden="1"/>
    </xf>
    <xf numFmtId="3" fontId="76" fillId="0" borderId="101" xfId="0" applyNumberFormat="1" applyFont="1" applyBorder="1"/>
    <xf numFmtId="0" fontId="31" fillId="2" borderId="141" xfId="26" applyNumberFormat="1" applyFont="1" applyFill="1" applyBorder="1" applyAlignment="1">
      <alignment horizontal="right" vertical="center"/>
    </xf>
    <xf numFmtId="169" fontId="92" fillId="0" borderId="0" xfId="9" applyNumberFormat="1" applyFont="1" applyAlignment="1">
      <alignment horizontal="center"/>
    </xf>
    <xf numFmtId="176" fontId="17" fillId="0" borderId="103" xfId="17" applyNumberFormat="1" applyFont="1" applyBorder="1" applyProtection="1">
      <protection hidden="1"/>
    </xf>
    <xf numFmtId="176" fontId="17" fillId="0" borderId="138" xfId="17" applyNumberFormat="1" applyFont="1" applyBorder="1" applyProtection="1">
      <protection hidden="1"/>
    </xf>
    <xf numFmtId="3" fontId="1" fillId="0" borderId="20" xfId="0" applyNumberFormat="1" applyFont="1" applyBorder="1"/>
    <xf numFmtId="169" fontId="30" fillId="0" borderId="138" xfId="9" applyNumberFormat="1" applyFont="1" applyBorder="1"/>
    <xf numFmtId="0" fontId="7" fillId="0" borderId="25" xfId="26" applyNumberFormat="1" applyFont="1" applyBorder="1"/>
    <xf numFmtId="0" fontId="7" fillId="0" borderId="159" xfId="26" applyNumberFormat="1" applyFont="1" applyBorder="1"/>
    <xf numFmtId="169" fontId="74" fillId="0" borderId="26" xfId="9" applyNumberFormat="1" applyFont="1" applyBorder="1"/>
    <xf numFmtId="169" fontId="74" fillId="0" borderId="160" xfId="9" applyNumberFormat="1" applyFont="1" applyBorder="1"/>
    <xf numFmtId="0" fontId="1" fillId="0" borderId="20" xfId="23" applyNumberFormat="1" applyFont="1" applyFill="1" applyBorder="1"/>
    <xf numFmtId="0" fontId="99" fillId="0" borderId="0" xfId="6" applyFont="1"/>
    <xf numFmtId="0" fontId="60" fillId="11" borderId="0" xfId="0" applyFont="1" applyFill="1" applyAlignment="1">
      <alignment horizontal="center"/>
    </xf>
    <xf numFmtId="0" fontId="60" fillId="11" borderId="0" xfId="0" applyFont="1" applyFill="1" applyAlignment="1">
      <alignment horizontal="center" vertical="center"/>
    </xf>
    <xf numFmtId="0" fontId="28" fillId="10" borderId="96" xfId="0" applyFont="1" applyFill="1" applyBorder="1"/>
    <xf numFmtId="0" fontId="28" fillId="10" borderId="97" xfId="0" applyFont="1" applyFill="1" applyBorder="1"/>
    <xf numFmtId="0" fontId="31" fillId="16" borderId="74" xfId="0" applyFont="1" applyFill="1" applyBorder="1" applyAlignment="1">
      <alignment horizontal="left" vertical="center"/>
    </xf>
    <xf numFmtId="0" fontId="31" fillId="16" borderId="75" xfId="0" applyFont="1" applyFill="1" applyBorder="1" applyAlignment="1">
      <alignment horizontal="left" vertical="center"/>
    </xf>
    <xf numFmtId="0" fontId="31" fillId="16" borderId="76" xfId="0" applyFont="1" applyFill="1" applyBorder="1" applyAlignment="1">
      <alignment horizontal="left" vertical="center"/>
    </xf>
    <xf numFmtId="0" fontId="28" fillId="7" borderId="74" xfId="0" applyFont="1" applyFill="1" applyBorder="1" applyAlignment="1" applyProtection="1">
      <alignment horizontal="left" vertical="top" wrapText="1"/>
      <protection locked="0"/>
    </xf>
    <xf numFmtId="0" fontId="28" fillId="7" borderId="75" xfId="0" applyFont="1" applyFill="1" applyBorder="1" applyAlignment="1" applyProtection="1">
      <alignment horizontal="left" vertical="top" wrapText="1"/>
      <protection locked="0"/>
    </xf>
    <xf numFmtId="0" fontId="28" fillId="7" borderId="76" xfId="0" applyFont="1" applyFill="1" applyBorder="1" applyAlignment="1" applyProtection="1">
      <alignment horizontal="left" vertical="top" wrapText="1"/>
      <protection locked="0"/>
    </xf>
    <xf numFmtId="0" fontId="28" fillId="7" borderId="81" xfId="0" applyFont="1" applyFill="1" applyBorder="1" applyAlignment="1" applyProtection="1">
      <alignment horizontal="left" vertical="top" wrapText="1"/>
      <protection locked="0"/>
    </xf>
    <xf numFmtId="0" fontId="28" fillId="7" borderId="0" xfId="0" applyFont="1" applyFill="1" applyAlignment="1" applyProtection="1">
      <alignment horizontal="left" vertical="top" wrapText="1"/>
      <protection locked="0"/>
    </xf>
    <xf numFmtId="0" fontId="28" fillId="7" borderId="82" xfId="0" applyFont="1" applyFill="1" applyBorder="1" applyAlignment="1" applyProtection="1">
      <alignment horizontal="left" vertical="top" wrapText="1"/>
      <protection locked="0"/>
    </xf>
    <xf numFmtId="0" fontId="28" fillId="7" borderId="89" xfId="0" applyFont="1" applyFill="1" applyBorder="1" applyAlignment="1" applyProtection="1">
      <alignment horizontal="left" vertical="top" wrapText="1"/>
      <protection locked="0"/>
    </xf>
    <xf numFmtId="0" fontId="28" fillId="7" borderId="90" xfId="0" applyFont="1" applyFill="1" applyBorder="1" applyAlignment="1" applyProtection="1">
      <alignment horizontal="left" vertical="top" wrapText="1"/>
      <protection locked="0"/>
    </xf>
    <xf numFmtId="0" fontId="28" fillId="7" borderId="91" xfId="0" applyFont="1" applyFill="1" applyBorder="1" applyAlignment="1" applyProtection="1">
      <alignment horizontal="left" vertical="top" wrapText="1"/>
      <protection locked="0"/>
    </xf>
    <xf numFmtId="0" fontId="28" fillId="0" borderId="0" xfId="0" applyFont="1"/>
    <xf numFmtId="14" fontId="31" fillId="15" borderId="75" xfId="0" applyNumberFormat="1" applyFont="1" applyFill="1" applyBorder="1" applyAlignment="1">
      <alignment horizontal="center" vertical="center"/>
    </xf>
    <xf numFmtId="0" fontId="31" fillId="15" borderId="76" xfId="0" applyFont="1" applyFill="1" applyBorder="1" applyAlignment="1">
      <alignment horizontal="center" vertical="center"/>
    </xf>
    <xf numFmtId="0" fontId="31" fillId="15" borderId="92" xfId="0" applyFont="1" applyFill="1" applyBorder="1" applyAlignment="1">
      <alignment vertical="center"/>
    </xf>
    <xf numFmtId="0" fontId="17" fillId="0" borderId="93" xfId="0" applyFont="1" applyBorder="1" applyAlignment="1">
      <alignment vertical="center"/>
    </xf>
    <xf numFmtId="0" fontId="17" fillId="0" borderId="94" xfId="0" applyFont="1" applyBorder="1" applyAlignment="1">
      <alignment vertical="center"/>
    </xf>
    <xf numFmtId="0" fontId="28" fillId="15" borderId="74" xfId="0" applyFont="1" applyFill="1" applyBorder="1" applyAlignment="1">
      <alignment horizontal="left" vertical="top" wrapText="1"/>
    </xf>
    <xf numFmtId="0" fontId="28" fillId="15" borderId="75" xfId="0" applyFont="1" applyFill="1" applyBorder="1" applyAlignment="1">
      <alignment horizontal="left" vertical="top" wrapText="1"/>
    </xf>
    <xf numFmtId="0" fontId="28" fillId="15" borderId="76" xfId="0" applyFont="1" applyFill="1" applyBorder="1" applyAlignment="1">
      <alignment horizontal="left" vertical="top" wrapText="1"/>
    </xf>
    <xf numFmtId="0" fontId="28" fillId="15" borderId="81" xfId="0" applyFont="1" applyFill="1" applyBorder="1" applyAlignment="1">
      <alignment horizontal="left" vertical="top" wrapText="1"/>
    </xf>
    <xf numFmtId="0" fontId="28" fillId="15" borderId="0" xfId="0" applyFont="1" applyFill="1" applyAlignment="1">
      <alignment horizontal="left" vertical="top" wrapText="1"/>
    </xf>
    <xf numFmtId="0" fontId="28" fillId="15" borderId="82" xfId="0" applyFont="1" applyFill="1" applyBorder="1" applyAlignment="1">
      <alignment horizontal="left" vertical="top" wrapText="1"/>
    </xf>
    <xf numFmtId="0" fontId="28" fillId="15" borderId="105" xfId="0" applyFont="1" applyFill="1" applyBorder="1" applyAlignment="1">
      <alignment horizontal="left" vertical="top" wrapText="1"/>
    </xf>
    <xf numFmtId="0" fontId="28" fillId="15" borderId="103" xfId="0" applyFont="1" applyFill="1" applyBorder="1" applyAlignment="1">
      <alignment horizontal="left" vertical="top" wrapText="1"/>
    </xf>
    <xf numFmtId="0" fontId="28" fillId="15" borderId="106" xfId="0" applyFont="1" applyFill="1" applyBorder="1" applyAlignment="1">
      <alignment horizontal="left" vertical="top" wrapText="1"/>
    </xf>
    <xf numFmtId="0" fontId="28" fillId="10" borderId="80" xfId="0" applyFont="1" applyFill="1" applyBorder="1"/>
    <xf numFmtId="0" fontId="28" fillId="10" borderId="95" xfId="0" applyFont="1" applyFill="1" applyBorder="1"/>
    <xf numFmtId="0" fontId="28" fillId="0" borderId="95" xfId="0" applyFont="1" applyBorder="1"/>
    <xf numFmtId="0" fontId="28" fillId="10" borderId="77" xfId="0" applyFont="1" applyFill="1" applyBorder="1"/>
    <xf numFmtId="0" fontId="28" fillId="10" borderId="98" xfId="0" applyFont="1" applyFill="1" applyBorder="1"/>
    <xf numFmtId="0" fontId="28" fillId="15" borderId="74" xfId="0" applyFont="1" applyFill="1" applyBorder="1" applyAlignment="1">
      <alignment horizontal="left" vertical="center" wrapText="1"/>
    </xf>
    <xf numFmtId="0" fontId="28" fillId="15" borderId="75" xfId="0" applyFont="1" applyFill="1" applyBorder="1" applyAlignment="1">
      <alignment horizontal="left" vertical="center" wrapText="1"/>
    </xf>
    <xf numFmtId="0" fontId="28" fillId="15" borderId="76" xfId="0" applyFont="1" applyFill="1" applyBorder="1" applyAlignment="1">
      <alignment horizontal="left" vertical="center" wrapText="1"/>
    </xf>
    <xf numFmtId="0" fontId="28" fillId="15" borderId="81" xfId="0" applyFont="1" applyFill="1" applyBorder="1" applyAlignment="1">
      <alignment horizontal="left" vertical="center" wrapText="1"/>
    </xf>
    <xf numFmtId="0" fontId="28" fillId="15" borderId="0" xfId="0" applyFont="1" applyFill="1" applyAlignment="1">
      <alignment horizontal="left" vertical="center" wrapText="1"/>
    </xf>
    <xf numFmtId="0" fontId="28" fillId="15" borderId="82" xfId="0" applyFont="1" applyFill="1" applyBorder="1" applyAlignment="1">
      <alignment horizontal="left" vertical="center" wrapText="1"/>
    </xf>
    <xf numFmtId="0" fontId="28" fillId="15" borderId="89" xfId="0" applyFont="1" applyFill="1" applyBorder="1" applyAlignment="1">
      <alignment horizontal="left" vertical="center" wrapText="1"/>
    </xf>
    <xf numFmtId="0" fontId="28" fillId="15" borderId="90" xfId="0" applyFont="1" applyFill="1" applyBorder="1" applyAlignment="1">
      <alignment horizontal="left" vertical="center" wrapText="1"/>
    </xf>
    <xf numFmtId="0" fontId="28" fillId="15" borderId="91" xfId="0" applyFont="1" applyFill="1" applyBorder="1" applyAlignment="1">
      <alignment horizontal="left" vertical="center" wrapText="1"/>
    </xf>
    <xf numFmtId="0" fontId="28" fillId="7" borderId="94" xfId="0" applyFont="1" applyFill="1" applyBorder="1" applyAlignment="1" applyProtection="1">
      <alignment horizontal="left" vertical="top" wrapText="1"/>
      <protection locked="0"/>
    </xf>
    <xf numFmtId="0" fontId="28" fillId="7" borderId="99" xfId="0" applyFont="1" applyFill="1" applyBorder="1" applyAlignment="1" applyProtection="1">
      <alignment horizontal="left" vertical="top" wrapText="1"/>
      <protection locked="0"/>
    </xf>
    <xf numFmtId="0" fontId="28" fillId="7" borderId="6" xfId="0" applyFont="1" applyFill="1" applyBorder="1" applyAlignment="1" applyProtection="1">
      <alignment horizontal="left" vertical="top" wrapText="1"/>
      <protection locked="0"/>
    </xf>
    <xf numFmtId="0" fontId="28" fillId="7" borderId="101" xfId="0" applyFont="1" applyFill="1" applyBorder="1" applyAlignment="1" applyProtection="1">
      <alignment horizontal="left" vertical="top" wrapText="1"/>
      <protection locked="0"/>
    </xf>
    <xf numFmtId="0" fontId="28" fillId="7" borderId="102" xfId="0" applyFont="1" applyFill="1" applyBorder="1" applyAlignment="1" applyProtection="1">
      <alignment horizontal="left" vertical="top" wrapText="1"/>
      <protection locked="0"/>
    </xf>
    <xf numFmtId="0" fontId="28" fillId="7" borderId="103" xfId="0" applyFont="1" applyFill="1" applyBorder="1" applyAlignment="1" applyProtection="1">
      <alignment horizontal="left" vertical="top" wrapText="1"/>
      <protection locked="0"/>
    </xf>
    <xf numFmtId="0" fontId="28" fillId="7" borderId="78" xfId="0" applyFont="1" applyFill="1" applyBorder="1" applyAlignment="1" applyProtection="1">
      <alignment horizontal="left" vertical="top" wrapText="1"/>
      <protection locked="0"/>
    </xf>
    <xf numFmtId="0" fontId="31" fillId="15" borderId="96" xfId="0" applyFont="1" applyFill="1" applyBorder="1" applyAlignment="1">
      <alignment vertical="center"/>
    </xf>
    <xf numFmtId="0" fontId="17" fillId="0" borderId="104" xfId="0" applyFont="1" applyBorder="1" applyAlignment="1">
      <alignment vertical="center"/>
    </xf>
    <xf numFmtId="0" fontId="17" fillId="0" borderId="97" xfId="0" applyFont="1" applyBorder="1" applyAlignment="1">
      <alignment vertical="center"/>
    </xf>
    <xf numFmtId="0" fontId="28" fillId="7" borderId="107" xfId="0" applyFont="1" applyFill="1" applyBorder="1" applyAlignment="1">
      <alignment horizontal="left" vertical="top"/>
    </xf>
    <xf numFmtId="0" fontId="28" fillId="7" borderId="70" xfId="0" applyFont="1" applyFill="1" applyBorder="1" applyAlignment="1">
      <alignment horizontal="left" vertical="top"/>
    </xf>
    <xf numFmtId="0" fontId="28" fillId="7" borderId="108" xfId="0" applyFont="1" applyFill="1" applyBorder="1" applyAlignment="1">
      <alignment horizontal="left" vertical="top"/>
    </xf>
    <xf numFmtId="0" fontId="28" fillId="7" borderId="6" xfId="0" applyFont="1" applyFill="1" applyBorder="1" applyAlignment="1">
      <alignment horizontal="left" vertical="top"/>
    </xf>
    <xf numFmtId="0" fontId="28" fillId="7" borderId="0" xfId="0" applyFont="1" applyFill="1" applyAlignment="1">
      <alignment horizontal="left" vertical="top"/>
    </xf>
    <xf numFmtId="0" fontId="28" fillId="7" borderId="101" xfId="0" applyFont="1" applyFill="1" applyBorder="1" applyAlignment="1">
      <alignment horizontal="left" vertical="top"/>
    </xf>
    <xf numFmtId="0" fontId="28" fillId="7" borderId="102" xfId="0" applyFont="1" applyFill="1" applyBorder="1" applyAlignment="1">
      <alignment horizontal="left" vertical="top"/>
    </xf>
    <xf numFmtId="0" fontId="28" fillId="7" borderId="103" xfId="0" applyFont="1" applyFill="1" applyBorder="1" applyAlignment="1">
      <alignment horizontal="left" vertical="top"/>
    </xf>
    <xf numFmtId="0" fontId="28" fillId="7" borderId="78" xfId="0" applyFont="1" applyFill="1" applyBorder="1" applyAlignment="1">
      <alignment horizontal="left" vertical="top"/>
    </xf>
    <xf numFmtId="0" fontId="31" fillId="15" borderId="109" xfId="0" applyFont="1" applyFill="1" applyBorder="1" applyAlignment="1">
      <alignment vertical="center"/>
    </xf>
    <xf numFmtId="0" fontId="31" fillId="15" borderId="110" xfId="0" applyFont="1" applyFill="1" applyBorder="1" applyAlignment="1">
      <alignment vertical="center"/>
    </xf>
    <xf numFmtId="0" fontId="28" fillId="0" borderId="110" xfId="0" applyFont="1" applyBorder="1" applyAlignment="1">
      <alignment vertical="center"/>
    </xf>
    <xf numFmtId="0" fontId="28" fillId="0" borderId="111" xfId="0" applyFont="1" applyBorder="1" applyAlignment="1">
      <alignment vertical="center"/>
    </xf>
    <xf numFmtId="0" fontId="31" fillId="15" borderId="109" xfId="0" applyFont="1" applyFill="1" applyBorder="1" applyAlignment="1">
      <alignment horizontal="left" vertical="center"/>
    </xf>
    <xf numFmtId="0" fontId="31" fillId="15" borderId="110" xfId="0" applyFont="1" applyFill="1" applyBorder="1" applyAlignment="1">
      <alignment horizontal="left" vertical="center"/>
    </xf>
    <xf numFmtId="0" fontId="31" fillId="15" borderId="111" xfId="0" applyFont="1" applyFill="1" applyBorder="1" applyAlignment="1">
      <alignment horizontal="left" vertical="center"/>
    </xf>
    <xf numFmtId="0" fontId="31" fillId="10" borderId="74" xfId="0" applyFont="1" applyFill="1" applyBorder="1" applyAlignment="1">
      <alignment horizontal="center" vertical="center"/>
    </xf>
    <xf numFmtId="0" fontId="31" fillId="10" borderId="75" xfId="0" applyFont="1" applyFill="1" applyBorder="1" applyAlignment="1">
      <alignment horizontal="center" vertical="center"/>
    </xf>
    <xf numFmtId="0" fontId="31" fillId="10" borderId="99" xfId="0" applyFont="1" applyFill="1" applyBorder="1" applyAlignment="1">
      <alignment horizontal="center" vertical="center"/>
    </xf>
    <xf numFmtId="0" fontId="31" fillId="10" borderId="89" xfId="0" applyFont="1" applyFill="1" applyBorder="1" applyAlignment="1">
      <alignment horizontal="center" vertical="center"/>
    </xf>
    <xf numFmtId="0" fontId="31" fillId="10" borderId="90" xfId="0" applyFont="1" applyFill="1" applyBorder="1" applyAlignment="1">
      <alignment horizontal="center" vertical="center"/>
    </xf>
    <xf numFmtId="0" fontId="31" fillId="10" borderId="105" xfId="0" applyFont="1" applyFill="1" applyBorder="1" applyAlignment="1">
      <alignment horizontal="center" vertical="center"/>
    </xf>
    <xf numFmtId="0" fontId="31" fillId="10" borderId="103" xfId="0" applyFont="1" applyFill="1" applyBorder="1" applyAlignment="1">
      <alignment horizontal="center" vertical="center"/>
    </xf>
    <xf numFmtId="0" fontId="31" fillId="10" borderId="109" xfId="28" applyFont="1" applyFill="1" applyBorder="1" applyAlignment="1">
      <alignment horizontal="center" vertical="center"/>
    </xf>
    <xf numFmtId="0" fontId="31" fillId="10" borderId="111" xfId="28" applyFont="1" applyFill="1" applyBorder="1" applyAlignment="1">
      <alignment horizontal="center" vertical="center"/>
    </xf>
    <xf numFmtId="0" fontId="28" fillId="7" borderId="116" xfId="28" applyFont="1" applyFill="1" applyBorder="1" applyAlignment="1" applyProtection="1">
      <alignment horizontal="left"/>
      <protection locked="0"/>
    </xf>
    <xf numFmtId="0" fontId="28" fillId="7" borderId="117" xfId="28" applyFont="1" applyFill="1" applyBorder="1" applyAlignment="1" applyProtection="1">
      <alignment horizontal="left"/>
      <protection locked="0"/>
    </xf>
    <xf numFmtId="0" fontId="28" fillId="7" borderId="87" xfId="28" applyFont="1" applyFill="1" applyBorder="1" applyAlignment="1" applyProtection="1">
      <alignment horizontal="left"/>
      <protection locked="0"/>
    </xf>
    <xf numFmtId="0" fontId="28" fillId="7" borderId="102" xfId="28" applyFont="1" applyFill="1" applyBorder="1" applyAlignment="1" applyProtection="1">
      <alignment horizontal="right"/>
      <protection locked="0"/>
    </xf>
    <xf numFmtId="0" fontId="28" fillId="7" borderId="78" xfId="28" applyFont="1" applyFill="1" applyBorder="1" applyAlignment="1" applyProtection="1">
      <alignment horizontal="right"/>
      <protection locked="0"/>
    </xf>
    <xf numFmtId="0" fontId="28" fillId="7" borderId="116" xfId="28" applyFont="1" applyFill="1" applyBorder="1" applyAlignment="1" applyProtection="1">
      <alignment horizontal="center" wrapText="1"/>
      <protection locked="0"/>
    </xf>
    <xf numFmtId="0" fontId="28" fillId="7" borderId="87" xfId="28" applyFont="1" applyFill="1" applyBorder="1" applyAlignment="1" applyProtection="1">
      <alignment horizontal="center" wrapText="1"/>
      <protection locked="0"/>
    </xf>
    <xf numFmtId="0" fontId="28" fillId="7" borderId="116" xfId="28" applyFont="1" applyFill="1" applyBorder="1" applyAlignment="1" applyProtection="1">
      <alignment horizontal="center"/>
      <protection locked="0"/>
    </xf>
    <xf numFmtId="0" fontId="28" fillId="7" borderId="87" xfId="28" applyFont="1" applyFill="1" applyBorder="1" applyAlignment="1" applyProtection="1">
      <alignment horizontal="center"/>
      <protection locked="0"/>
    </xf>
    <xf numFmtId="0" fontId="31" fillId="10" borderId="109" xfId="28" applyFont="1" applyFill="1" applyBorder="1" applyAlignment="1">
      <alignment horizontal="center"/>
    </xf>
    <xf numFmtId="0" fontId="31" fillId="10" borderId="111" xfId="28" applyFont="1" applyFill="1" applyBorder="1" applyAlignment="1">
      <alignment horizontal="center"/>
    </xf>
    <xf numFmtId="0" fontId="31" fillId="15" borderId="109" xfId="0" applyFont="1" applyFill="1" applyBorder="1" applyAlignment="1">
      <alignment horizontal="center" vertical="center"/>
    </xf>
    <xf numFmtId="0" fontId="31" fillId="15" borderId="110" xfId="0" applyFont="1" applyFill="1" applyBorder="1" applyAlignment="1">
      <alignment horizontal="center" vertical="center"/>
    </xf>
    <xf numFmtId="0" fontId="31" fillId="15" borderId="111" xfId="0" applyFont="1" applyFill="1" applyBorder="1" applyAlignment="1">
      <alignment horizontal="center" vertical="center"/>
    </xf>
    <xf numFmtId="0" fontId="31" fillId="10" borderId="109" xfId="0" applyFont="1" applyFill="1" applyBorder="1" applyAlignment="1">
      <alignment horizontal="center" vertical="center"/>
    </xf>
    <xf numFmtId="0" fontId="31" fillId="10" borderId="110" xfId="0" applyFont="1" applyFill="1" applyBorder="1" applyAlignment="1">
      <alignment horizontal="center" vertical="center"/>
    </xf>
    <xf numFmtId="0" fontId="31" fillId="10" borderId="111" xfId="0" applyFont="1" applyFill="1" applyBorder="1" applyAlignment="1">
      <alignment horizontal="center" vertical="center"/>
    </xf>
    <xf numFmtId="0" fontId="31" fillId="10" borderId="109" xfId="0" applyFont="1" applyFill="1" applyBorder="1" applyAlignment="1">
      <alignment horizontal="center" vertical="top" wrapText="1"/>
    </xf>
    <xf numFmtId="0" fontId="31" fillId="10" borderId="111" xfId="0" applyFont="1" applyFill="1" applyBorder="1" applyAlignment="1">
      <alignment horizontal="center" vertical="top" wrapText="1"/>
    </xf>
    <xf numFmtId="0" fontId="28" fillId="7" borderId="118" xfId="0" applyFont="1" applyFill="1" applyBorder="1" applyAlignment="1" applyProtection="1">
      <alignment horizontal="center"/>
      <protection locked="0"/>
    </xf>
    <xf numFmtId="0" fontId="28" fillId="7" borderId="119" xfId="0" applyFont="1" applyFill="1" applyBorder="1" applyAlignment="1" applyProtection="1">
      <alignment horizontal="center"/>
      <protection locked="0"/>
    </xf>
    <xf numFmtId="0" fontId="28" fillId="7" borderId="113" xfId="0" applyFont="1" applyFill="1" applyBorder="1" applyAlignment="1" applyProtection="1">
      <alignment horizontal="center"/>
      <protection locked="0"/>
    </xf>
    <xf numFmtId="3" fontId="28" fillId="7" borderId="120" xfId="0" applyNumberFormat="1" applyFont="1" applyFill="1" applyBorder="1" applyAlignment="1" applyProtection="1">
      <alignment horizontal="center"/>
      <protection locked="0"/>
    </xf>
    <xf numFmtId="3" fontId="28" fillId="7" borderId="113" xfId="0" applyNumberFormat="1" applyFont="1" applyFill="1" applyBorder="1" applyAlignment="1" applyProtection="1">
      <alignment horizontal="center"/>
      <protection locked="0"/>
    </xf>
    <xf numFmtId="0" fontId="28" fillId="7" borderId="121" xfId="0" applyFont="1" applyFill="1" applyBorder="1" applyAlignment="1" applyProtection="1">
      <alignment horizontal="center"/>
      <protection locked="0"/>
    </xf>
    <xf numFmtId="0" fontId="28" fillId="7" borderId="117" xfId="0" applyFont="1" applyFill="1" applyBorder="1" applyAlignment="1" applyProtection="1">
      <alignment horizontal="center"/>
      <protection locked="0"/>
    </xf>
    <xf numFmtId="0" fontId="28" fillId="7" borderId="87" xfId="0" applyFont="1" applyFill="1" applyBorder="1" applyAlignment="1" applyProtection="1">
      <alignment horizontal="center"/>
      <protection locked="0"/>
    </xf>
    <xf numFmtId="3" fontId="28" fillId="7" borderId="116" xfId="0" applyNumberFormat="1" applyFont="1" applyFill="1" applyBorder="1" applyAlignment="1" applyProtection="1">
      <alignment horizontal="center"/>
      <protection locked="0"/>
    </xf>
    <xf numFmtId="3" fontId="28" fillId="7" borderId="87" xfId="0" applyNumberFormat="1" applyFont="1" applyFill="1" applyBorder="1" applyAlignment="1" applyProtection="1">
      <alignment horizontal="center"/>
      <protection locked="0"/>
    </xf>
    <xf numFmtId="0" fontId="28" fillId="7" borderId="120" xfId="0" applyFont="1" applyFill="1" applyBorder="1" applyAlignment="1" applyProtection="1">
      <alignment horizontal="center"/>
      <protection locked="0"/>
    </xf>
    <xf numFmtId="0" fontId="28" fillId="7" borderId="124" xfId="0" applyFont="1" applyFill="1" applyBorder="1" applyAlignment="1" applyProtection="1">
      <alignment horizontal="center"/>
      <protection locked="0"/>
    </xf>
    <xf numFmtId="0" fontId="28" fillId="7" borderId="125" xfId="0" applyFont="1" applyFill="1" applyBorder="1" applyAlignment="1" applyProtection="1">
      <alignment horizontal="center"/>
      <protection locked="0"/>
    </xf>
    <xf numFmtId="0" fontId="28" fillId="7" borderId="85" xfId="0" applyFont="1" applyFill="1" applyBorder="1" applyAlignment="1" applyProtection="1">
      <alignment horizontal="center"/>
      <protection locked="0"/>
    </xf>
    <xf numFmtId="3" fontId="28" fillId="7" borderId="126" xfId="0" applyNumberFormat="1" applyFont="1" applyFill="1" applyBorder="1" applyAlignment="1" applyProtection="1">
      <alignment horizontal="center"/>
      <protection locked="0"/>
    </xf>
    <xf numFmtId="3" fontId="28" fillId="7" borderId="85" xfId="0" applyNumberFormat="1" applyFont="1" applyFill="1" applyBorder="1" applyAlignment="1" applyProtection="1">
      <alignment horizontal="center"/>
      <protection locked="0"/>
    </xf>
    <xf numFmtId="0" fontId="28" fillId="0" borderId="109" xfId="0" applyFont="1" applyBorder="1" applyAlignment="1" applyProtection="1">
      <alignment horizontal="left"/>
      <protection locked="0"/>
    </xf>
    <xf numFmtId="0" fontId="28" fillId="0" borderId="110" xfId="0" applyFont="1" applyBorder="1" applyAlignment="1" applyProtection="1">
      <alignment horizontal="left"/>
      <protection locked="0"/>
    </xf>
    <xf numFmtId="0" fontId="28" fillId="0" borderId="127" xfId="0" applyFont="1" applyBorder="1" applyAlignment="1" applyProtection="1">
      <alignment horizontal="left"/>
      <protection locked="0"/>
    </xf>
    <xf numFmtId="3" fontId="28" fillId="0" borderId="128" xfId="0" applyNumberFormat="1" applyFont="1" applyBorder="1" applyAlignment="1" applyProtection="1">
      <alignment horizontal="center"/>
      <protection locked="0"/>
    </xf>
    <xf numFmtId="3" fontId="28" fillId="0" borderId="127" xfId="0" applyNumberFormat="1" applyFont="1" applyBorder="1" applyAlignment="1" applyProtection="1">
      <alignment horizontal="center"/>
      <protection locked="0"/>
    </xf>
    <xf numFmtId="0" fontId="28" fillId="7" borderId="116" xfId="0" applyFont="1" applyFill="1" applyBorder="1" applyAlignment="1" applyProtection="1">
      <alignment horizontal="center"/>
      <protection locked="0"/>
    </xf>
    <xf numFmtId="0" fontId="17" fillId="0" borderId="110" xfId="0" applyFont="1" applyBorder="1" applyAlignment="1">
      <alignment vertical="center"/>
    </xf>
    <xf numFmtId="0" fontId="17" fillId="0" borderId="111" xfId="0" applyFont="1" applyBorder="1" applyAlignment="1">
      <alignment vertical="center"/>
    </xf>
    <xf numFmtId="3" fontId="28" fillId="0" borderId="0" xfId="0" applyNumberFormat="1" applyFont="1" applyAlignment="1" applyProtection="1">
      <alignment horizontal="center"/>
      <protection locked="0"/>
    </xf>
    <xf numFmtId="0" fontId="28" fillId="0" borderId="0" xfId="0" applyFont="1" applyAlignment="1" applyProtection="1">
      <alignment horizontal="left"/>
      <protection locked="0"/>
    </xf>
  </cellXfs>
  <cellStyles count="30">
    <cellStyle name="Comma 2" xfId="3" xr:uid="{00000000-0005-0000-0000-000000000000}"/>
    <cellStyle name="Comma 2 2" xfId="19" xr:uid="{00000000-0005-0000-0000-000001000000}"/>
    <cellStyle name="Comma 3" xfId="23" xr:uid="{81D9B5BE-87B8-41E2-BF4B-2E26518BFED0}"/>
    <cellStyle name="Currency 2" xfId="12" xr:uid="{00000000-0005-0000-0000-000002000000}"/>
    <cellStyle name="Currency 2 2" xfId="20" xr:uid="{00000000-0005-0000-0000-000003000000}"/>
    <cellStyle name="Čiarka" xfId="26" builtinId="3"/>
    <cellStyle name="Hypertextové prepojenie" xfId="29" builtinId="8"/>
    <cellStyle name="Normal 10" xfId="24" xr:uid="{4C7E9A69-9512-4972-8F84-E3309131AEB6}"/>
    <cellStyle name="Normal 16 2" xfId="27" xr:uid="{64007122-4A0E-4720-8961-3F2B9D7CC72C}"/>
    <cellStyle name="Normal 2" xfId="1" xr:uid="{00000000-0005-0000-0000-000005000000}"/>
    <cellStyle name="Normal 2 2" xfId="4" xr:uid="{00000000-0005-0000-0000-000006000000}"/>
    <cellStyle name="Normal 2 3" xfId="17" xr:uid="{00000000-0005-0000-0000-000007000000}"/>
    <cellStyle name="Normal 3" xfId="5" xr:uid="{00000000-0005-0000-0000-000008000000}"/>
    <cellStyle name="Normal 3 2" xfId="14" xr:uid="{00000000-0005-0000-0000-000009000000}"/>
    <cellStyle name="Normal 4" xfId="10" xr:uid="{00000000-0005-0000-0000-00000A000000}"/>
    <cellStyle name="Normal 4 2" xfId="6" xr:uid="{00000000-0005-0000-0000-00000B000000}"/>
    <cellStyle name="Normal 4 3" xfId="15" xr:uid="{00000000-0005-0000-0000-00000C000000}"/>
    <cellStyle name="Normal 5" xfId="16" xr:uid="{00000000-0005-0000-0000-00000D000000}"/>
    <cellStyle name="Normal 5 2" xfId="21" xr:uid="{00000000-0005-0000-0000-00000E000000}"/>
    <cellStyle name="Normal 6" xfId="22" xr:uid="{4443B0B8-9327-4508-AD03-373953AC3A80}"/>
    <cellStyle name="Normal_Databook Deliver" xfId="8" xr:uid="{00000000-0005-0000-0000-00000F000000}"/>
    <cellStyle name="Normálna" xfId="0" builtinId="0"/>
    <cellStyle name="normálne_Hárok1" xfId="11" xr:uid="{00000000-0005-0000-0000-000010000000}"/>
    <cellStyle name="normálne_príloha č. 4_tab. prílohy k žiadosti_po_fo_podvojne účtovníctvo" xfId="28" xr:uid="{6ECAA0BA-B228-418E-A1FD-A8836C66F23E}"/>
    <cellStyle name="Percent 2" xfId="2" xr:uid="{00000000-0005-0000-0000-000012000000}"/>
    <cellStyle name="Percent 2 2" xfId="18" xr:uid="{00000000-0005-0000-0000-000013000000}"/>
    <cellStyle name="Percent 3" xfId="7" xr:uid="{00000000-0005-0000-0000-000014000000}"/>
    <cellStyle name="Percent 4" xfId="13" xr:uid="{00000000-0005-0000-0000-000015000000}"/>
    <cellStyle name="Percent 4 2" xfId="25" xr:uid="{2CA833A9-FFF4-44BD-8169-369C51B3B823}"/>
    <cellStyle name="Percentá" xfId="9" builtinId="5"/>
  </cellStyles>
  <dxfs count="2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C000"/>
        </patternFill>
      </fill>
    </dxf>
    <dxf>
      <fill>
        <patternFill>
          <bgColor rgb="FFFFC000"/>
        </patternFill>
      </fill>
    </dxf>
    <dxf>
      <font>
        <color theme="1"/>
      </font>
      <numFmt numFmtId="169" formatCode="0.0%"/>
      <fill>
        <patternFill>
          <bgColor theme="5"/>
        </patternFill>
      </fill>
    </dxf>
    <dxf>
      <font>
        <color theme="0"/>
      </font>
      <fill>
        <patternFill>
          <bgColor rgb="FFFF0000"/>
        </patternFill>
      </fill>
    </dxf>
    <dxf>
      <font>
        <b val="0"/>
        <i val="0"/>
        <color theme="1"/>
      </font>
      <numFmt numFmtId="169" formatCode="0.0%"/>
      <fill>
        <patternFill>
          <bgColor theme="5"/>
        </patternFill>
      </fill>
    </dxf>
    <dxf>
      <font>
        <color rgb="FF9C5700"/>
      </font>
      <fill>
        <patternFill>
          <bgColor rgb="FFFFEB9C"/>
        </patternFill>
      </fill>
    </dxf>
    <dxf>
      <fill>
        <patternFill>
          <bgColor theme="5"/>
        </patternFill>
      </fill>
    </dxf>
    <dxf>
      <fill>
        <patternFill>
          <bgColor theme="5"/>
        </patternFill>
      </fill>
    </dxf>
    <dxf>
      <fill>
        <patternFill>
          <bgColor rgb="FF92D050"/>
        </patternFill>
      </fill>
    </dxf>
    <dxf>
      <fill>
        <patternFill>
          <bgColor rgb="FF92D050"/>
        </patternFill>
      </fill>
    </dxf>
    <dxf>
      <fill>
        <patternFill>
          <bgColor rgb="FF92D050"/>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ont>
        <color rgb="FF9C0006"/>
      </font>
      <fill>
        <patternFill>
          <bgColor rgb="FFFFC7CE"/>
        </patternFill>
      </fill>
    </dxf>
    <dxf>
      <font>
        <color rgb="FF006100"/>
      </font>
      <fill>
        <patternFill patternType="none">
          <bgColor auto="1"/>
        </patternFill>
      </fill>
    </dxf>
    <dxf>
      <fill>
        <patternFill>
          <bgColor rgb="FF92D050"/>
        </patternFill>
      </fill>
    </dxf>
    <dxf>
      <fill>
        <patternFill>
          <bgColor rgb="FF92D050"/>
        </patternFill>
      </fill>
    </dxf>
    <dxf>
      <fill>
        <patternFill>
          <bgColor rgb="FF92D05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00338D"/>
      <rgbColor rgb="000091DA"/>
      <rgbColor rgb="006D2077"/>
      <rgbColor rgb="00005EB8"/>
      <rgbColor rgb="0000A3A1"/>
      <rgbColor rgb="00EAAA00"/>
      <rgbColor rgb="0043B02A"/>
      <rgbColor rgb="00C6007E"/>
      <rgbColor rgb="0000338D"/>
      <rgbColor rgb="000091DA"/>
      <rgbColor rgb="006D2077"/>
      <rgbColor rgb="00005EB8"/>
      <rgbColor rgb="0000A3A1"/>
      <rgbColor rgb="00EAAA00"/>
      <rgbColor rgb="0043B02A"/>
      <rgbColor rgb="00C6007E"/>
      <rgbColor rgb="00753F19"/>
      <rgbColor rgb="009B642E"/>
      <rgbColor rgb="009D9375"/>
      <rgbColor rgb="00E3BC9F"/>
      <rgbColor rgb="00E36877"/>
      <rgbColor rgb="00FF99CC"/>
      <rgbColor rgb="00CC99FF"/>
      <rgbColor rgb="00FFCC99"/>
      <rgbColor rgb="003366FF"/>
      <rgbColor rgb="0033CCCC"/>
      <rgbColor rgb="0099CC00"/>
      <rgbColor rgb="00F5B36A"/>
      <rgbColor rgb="00FF9900"/>
      <rgbColor rgb="00FF6600"/>
      <rgbColor rgb="00666699"/>
      <rgbColor rgb="00969696"/>
      <rgbColor rgb="00003366"/>
      <rgbColor rgb="00339966"/>
      <rgbColor rgb="00003300"/>
      <rgbColor rgb="00333300"/>
      <rgbColor rgb="00993300"/>
      <rgbColor rgb="00E6E9EE"/>
      <rgbColor rgb="00333399"/>
      <rgbColor rgb="00333333"/>
    </indexedColors>
    <mruColors>
      <color rgb="FF0000FF"/>
      <color rgb="FF00587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45"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3.xml"/><Relationship Id="rId1" Type="http://schemas.microsoft.com/office/2011/relationships/chartStyle" Target="style3.xml"/></Relationships>
</file>

<file path=xl/charts/_rels/chart5.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6.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41783660405749"/>
          <c:y val="5.2057617385828182E-2"/>
          <c:w val="0.89058216339594265"/>
          <c:h val="0.7519288707372469"/>
        </c:manualLayout>
      </c:layout>
      <c:lineChart>
        <c:grouping val="standard"/>
        <c:varyColors val="0"/>
        <c:ser>
          <c:idx val="0"/>
          <c:order val="0"/>
          <c:tx>
            <c:strRef>
              <c:f>Mngmt!$B$8</c:f>
              <c:strCache>
                <c:ptCount val="1"/>
                <c:pt idx="0">
                  <c:v>Tržby</c:v>
                </c:pt>
              </c:strCache>
            </c:strRef>
          </c:tx>
          <c:spPr>
            <a:ln w="28575" cap="rnd">
              <a:solidFill>
                <a:srgbClr val="002060"/>
              </a:solidFill>
              <a:round/>
            </a:ln>
            <a:effectLst/>
          </c:spPr>
          <c:marker>
            <c:symbol val="circle"/>
            <c:size val="5"/>
            <c:spPr>
              <a:solidFill>
                <a:srgbClr val="002060"/>
              </a:solidFill>
              <a:ln w="9525">
                <a:solidFill>
                  <a:srgbClr val="002060"/>
                </a:solidFill>
              </a:ln>
              <a:effectLst/>
            </c:spPr>
          </c:marker>
          <c:dLbls>
            <c:dLbl>
              <c:idx val="0"/>
              <c:layout>
                <c:manualLayout>
                  <c:x val="-7.3081328751431848E-2"/>
                  <c:y val="-9.263652897175264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38CB-4CCE-BDE7-3DD914654F6E}"/>
                </c:ext>
              </c:extLst>
            </c:dLbl>
            <c:dLbl>
              <c:idx val="1"/>
              <c:layout>
                <c:manualLayout>
                  <c:x val="-6.3164095445760265E-2"/>
                  <c:y val="-7.448561894345769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38CB-4CCE-BDE7-3DD914654F6E}"/>
                </c:ext>
              </c:extLst>
            </c:dLbl>
            <c:dLbl>
              <c:idx val="2"/>
              <c:layout>
                <c:manualLayout>
                  <c:x val="-1.9444444444444445E-2"/>
                  <c:y val="-6.944444444444446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38CB-4CCE-BDE7-3DD914654F6E}"/>
                </c:ext>
              </c:extLst>
            </c:dLbl>
            <c:dLbl>
              <c:idx val="3"/>
              <c:layout>
                <c:manualLayout>
                  <c:x val="-1.9444444444444445E-2"/>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38CB-4CCE-BDE7-3DD914654F6E}"/>
                </c:ext>
              </c:extLst>
            </c:dLbl>
            <c:dLbl>
              <c:idx val="4"/>
              <c:layout>
                <c:manualLayout>
                  <c:x val="-1.6666666666666666E-2"/>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38CB-4CCE-BDE7-3DD914654F6E}"/>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rgbClr val="002060"/>
                    </a:solidFill>
                    <a:latin typeface="Arial" panose="020B0604020202020204" pitchFamily="34" charset="0"/>
                    <a:ea typeface="+mn-ea"/>
                    <a:cs typeface="Arial" panose="020B0604020202020204"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Mngmt!$C$7:$G$7</c:f>
              <c:numCache>
                <c:formatCode>General</c:formatCode>
                <c:ptCount val="5"/>
                <c:pt idx="0">
                  <c:v>2021</c:v>
                </c:pt>
                <c:pt idx="1">
                  <c:v>2022</c:v>
                </c:pt>
                <c:pt idx="2">
                  <c:v>2023</c:v>
                </c:pt>
                <c:pt idx="3">
                  <c:v>2024</c:v>
                </c:pt>
                <c:pt idx="4">
                  <c:v>2025</c:v>
                </c:pt>
              </c:numCache>
            </c:numRef>
          </c:cat>
          <c:val>
            <c:numRef>
              <c:f>Mngmt!$C$8:$G$8</c:f>
              <c:numCache>
                <c:formatCode>#,##0</c:formatCode>
                <c:ptCount val="5"/>
                <c:pt idx="0">
                  <c:v>0</c:v>
                </c:pt>
                <c:pt idx="1">
                  <c:v>1264875</c:v>
                </c:pt>
                <c:pt idx="2">
                  <c:v>2188087.6874999995</c:v>
                </c:pt>
                <c:pt idx="3">
                  <c:v>2938382.955543749</c:v>
                </c:pt>
                <c:pt idx="4">
                  <c:v>3642419.5116920313</c:v>
                </c:pt>
              </c:numCache>
            </c:numRef>
          </c:val>
          <c:smooth val="0"/>
          <c:extLst>
            <c:ext xmlns:c16="http://schemas.microsoft.com/office/drawing/2014/chart" uri="{C3380CC4-5D6E-409C-BE32-E72D297353CC}">
              <c16:uniqueId val="{00000006-38CB-4CCE-BDE7-3DD914654F6E}"/>
            </c:ext>
          </c:extLst>
        </c:ser>
        <c:ser>
          <c:idx val="1"/>
          <c:order val="1"/>
          <c:tx>
            <c:strRef>
              <c:f>Mngmt!$B$9</c:f>
              <c:strCache>
                <c:ptCount val="1"/>
                <c:pt idx="0">
                  <c:v>Prevádzkové náklady</c:v>
                </c:pt>
              </c:strCache>
            </c:strRef>
          </c:tx>
          <c:spPr>
            <a:ln w="28575" cap="rnd">
              <a:solidFill>
                <a:srgbClr val="FF0000"/>
              </a:solidFill>
              <a:round/>
            </a:ln>
            <a:effectLst/>
          </c:spPr>
          <c:marker>
            <c:symbol val="circle"/>
            <c:size val="5"/>
            <c:spPr>
              <a:solidFill>
                <a:srgbClr val="FF0000"/>
              </a:solidFill>
              <a:ln w="9525">
                <a:solidFill>
                  <a:srgbClr val="FF0000"/>
                </a:solidFill>
              </a:ln>
              <a:effectLst/>
            </c:spPr>
          </c:marker>
          <c:dLbls>
            <c:dLbl>
              <c:idx val="0"/>
              <c:layout>
                <c:manualLayout>
                  <c:x val="-1.5907416717604834E-2"/>
                  <c:y val="-7.36770924467774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38CB-4CCE-BDE7-3DD914654F6E}"/>
                </c:ext>
              </c:extLst>
            </c:dLbl>
            <c:dLbl>
              <c:idx val="1"/>
              <c:layout>
                <c:manualLayout>
                  <c:x val="0"/>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38CB-4CCE-BDE7-3DD914654F6E}"/>
                </c:ext>
              </c:extLst>
            </c:dLbl>
            <c:dLbl>
              <c:idx val="2"/>
              <c:layout>
                <c:manualLayout>
                  <c:x val="0"/>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38CB-4CCE-BDE7-3DD914654F6E}"/>
                </c:ext>
              </c:extLst>
            </c:dLbl>
            <c:dLbl>
              <c:idx val="3"/>
              <c:layout>
                <c:manualLayout>
                  <c:x val="-2.7777777777777779E-3"/>
                  <c:y val="4.166666666666666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38CB-4CCE-BDE7-3DD914654F6E}"/>
                </c:ext>
              </c:extLst>
            </c:dLbl>
            <c:dLbl>
              <c:idx val="4"/>
              <c:layout>
                <c:manualLayout>
                  <c:x val="2.7777777777777779E-3"/>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38CB-4CCE-BDE7-3DD914654F6E}"/>
                </c:ext>
              </c:extLst>
            </c:dLbl>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rgbClr val="FF0000"/>
                    </a:solidFill>
                    <a:latin typeface="Arial" panose="020B0604020202020204" pitchFamily="34" charset="0"/>
                    <a:ea typeface="+mn-ea"/>
                    <a:cs typeface="Arial" panose="020B0604020202020204"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Mngmt!$C$7:$G$7</c:f>
              <c:numCache>
                <c:formatCode>General</c:formatCode>
                <c:ptCount val="5"/>
                <c:pt idx="0">
                  <c:v>2021</c:v>
                </c:pt>
                <c:pt idx="1">
                  <c:v>2022</c:v>
                </c:pt>
                <c:pt idx="2">
                  <c:v>2023</c:v>
                </c:pt>
                <c:pt idx="3">
                  <c:v>2024</c:v>
                </c:pt>
                <c:pt idx="4">
                  <c:v>2025</c:v>
                </c:pt>
              </c:numCache>
            </c:numRef>
          </c:cat>
          <c:val>
            <c:numRef>
              <c:f>Mngmt!$C$9:$G$9</c:f>
              <c:numCache>
                <c:formatCode>#,##0</c:formatCode>
                <c:ptCount val="5"/>
                <c:pt idx="0">
                  <c:v>0</c:v>
                </c:pt>
                <c:pt idx="1">
                  <c:v>994987.70500000007</c:v>
                </c:pt>
                <c:pt idx="2">
                  <c:v>1626352.3370424996</c:v>
                </c:pt>
                <c:pt idx="3">
                  <c:v>2162092.0852703722</c:v>
                </c:pt>
                <c:pt idx="4">
                  <c:v>2619391.7169031538</c:v>
                </c:pt>
              </c:numCache>
            </c:numRef>
          </c:val>
          <c:smooth val="0"/>
          <c:extLst>
            <c:ext xmlns:c16="http://schemas.microsoft.com/office/drawing/2014/chart" uri="{C3380CC4-5D6E-409C-BE32-E72D297353CC}">
              <c16:uniqueId val="{0000000D-38CB-4CCE-BDE7-3DD914654F6E}"/>
            </c:ext>
          </c:extLst>
        </c:ser>
        <c:ser>
          <c:idx val="2"/>
          <c:order val="2"/>
          <c:tx>
            <c:strRef>
              <c:f>Mngmt!$B$10</c:f>
              <c:strCache>
                <c:ptCount val="1"/>
                <c:pt idx="0">
                  <c:v>EBITDA</c:v>
                </c:pt>
              </c:strCache>
            </c:strRef>
          </c:tx>
          <c:spPr>
            <a:ln w="28575" cap="rnd">
              <a:solidFill>
                <a:srgbClr val="00B050"/>
              </a:solidFill>
              <a:round/>
            </a:ln>
            <a:effectLst/>
          </c:spPr>
          <c:marker>
            <c:symbol val="circle"/>
            <c:size val="5"/>
            <c:spPr>
              <a:solidFill>
                <a:srgbClr val="00B050"/>
              </a:solidFill>
              <a:ln w="9525">
                <a:solidFill>
                  <a:srgbClr val="00B050"/>
                </a:solidFill>
              </a:ln>
              <a:effectLst/>
            </c:spPr>
          </c:marker>
          <c:dLbls>
            <c:dLbl>
              <c:idx val="0"/>
              <c:layout>
                <c:manualLayout>
                  <c:x val="2.3253150057273742E-2"/>
                  <c:y val="-7.4957294922654253E-4"/>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8CB-4CCE-BDE7-3DD914654F6E}"/>
                </c:ext>
              </c:extLst>
            </c:dLbl>
            <c:dLbl>
              <c:idx val="1"/>
              <c:layout>
                <c:manualLayout>
                  <c:x val="-2.7777777777777779E-3"/>
                  <c:y val="-6.481481481481481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8CB-4CCE-BDE7-3DD914654F6E}"/>
                </c:ext>
              </c:extLst>
            </c:dLbl>
            <c:dLbl>
              <c:idx val="2"/>
              <c:layout>
                <c:manualLayout>
                  <c:x val="0"/>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8CB-4CCE-BDE7-3DD914654F6E}"/>
                </c:ext>
              </c:extLst>
            </c:dLbl>
            <c:dLbl>
              <c:idx val="3"/>
              <c:layout>
                <c:manualLayout>
                  <c:x val="0"/>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38CB-4CCE-BDE7-3DD914654F6E}"/>
                </c:ext>
              </c:extLst>
            </c:dLbl>
            <c:dLbl>
              <c:idx val="4"/>
              <c:layout>
                <c:manualLayout>
                  <c:x val="-1.1111111111111009E-2"/>
                  <c:y val="-6.944444444444453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38CB-4CCE-BDE7-3DD914654F6E}"/>
                </c:ext>
              </c:extLst>
            </c:dLbl>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rgbClr val="00B050"/>
                    </a:solidFill>
                    <a:latin typeface="Arial" panose="020B0604020202020204" pitchFamily="34" charset="0"/>
                    <a:ea typeface="+mn-ea"/>
                    <a:cs typeface="Arial" panose="020B0604020202020204"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Mngmt!$C$7:$G$7</c:f>
              <c:numCache>
                <c:formatCode>General</c:formatCode>
                <c:ptCount val="5"/>
                <c:pt idx="0">
                  <c:v>2021</c:v>
                </c:pt>
                <c:pt idx="1">
                  <c:v>2022</c:v>
                </c:pt>
                <c:pt idx="2">
                  <c:v>2023</c:v>
                </c:pt>
                <c:pt idx="3">
                  <c:v>2024</c:v>
                </c:pt>
                <c:pt idx="4">
                  <c:v>2025</c:v>
                </c:pt>
              </c:numCache>
            </c:numRef>
          </c:cat>
          <c:val>
            <c:numRef>
              <c:f>Mngmt!$C$10:$G$10</c:f>
              <c:numCache>
                <c:formatCode>#,##0</c:formatCode>
                <c:ptCount val="5"/>
                <c:pt idx="0">
                  <c:v>0</c:v>
                </c:pt>
                <c:pt idx="1">
                  <c:v>269887.29500000004</c:v>
                </c:pt>
                <c:pt idx="2">
                  <c:v>561735.35045749997</c:v>
                </c:pt>
                <c:pt idx="3">
                  <c:v>776290.87027337658</c:v>
                </c:pt>
                <c:pt idx="4">
                  <c:v>1023027.7947888777</c:v>
                </c:pt>
              </c:numCache>
            </c:numRef>
          </c:val>
          <c:smooth val="0"/>
          <c:extLst>
            <c:ext xmlns:c16="http://schemas.microsoft.com/office/drawing/2014/chart" uri="{C3380CC4-5D6E-409C-BE32-E72D297353CC}">
              <c16:uniqueId val="{00000014-38CB-4CCE-BDE7-3DD914654F6E}"/>
            </c:ext>
          </c:extLst>
        </c:ser>
        <c:dLbls>
          <c:showLegendKey val="0"/>
          <c:showVal val="0"/>
          <c:showCatName val="0"/>
          <c:showSerName val="0"/>
          <c:showPercent val="0"/>
          <c:showBubbleSize val="0"/>
        </c:dLbls>
        <c:marker val="1"/>
        <c:smooth val="0"/>
        <c:axId val="566767816"/>
        <c:axId val="485635064"/>
      </c:lineChart>
      <c:catAx>
        <c:axId val="56676781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sk-SK"/>
          </a:p>
        </c:txPr>
        <c:crossAx val="485635064"/>
        <c:crosses val="autoZero"/>
        <c:auto val="1"/>
        <c:lblAlgn val="ctr"/>
        <c:lblOffset val="100"/>
        <c:noMultiLvlLbl val="0"/>
      </c:catAx>
      <c:valAx>
        <c:axId val="4856350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sk-SK"/>
          </a:p>
        </c:txPr>
        <c:crossAx val="56676781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946534474832691"/>
          <c:y val="5.2057617385828182E-2"/>
          <c:w val="0.89053465525167319"/>
          <c:h val="0.7519288707372469"/>
        </c:manualLayout>
      </c:layout>
      <c:lineChart>
        <c:grouping val="standard"/>
        <c:varyColors val="0"/>
        <c:ser>
          <c:idx val="0"/>
          <c:order val="0"/>
          <c:tx>
            <c:strRef>
              <c:f>Mngmt!$I$8</c:f>
              <c:strCache>
                <c:ptCount val="1"/>
                <c:pt idx="0">
                  <c:v>Voľný CF</c:v>
                </c:pt>
              </c:strCache>
            </c:strRef>
          </c:tx>
          <c:spPr>
            <a:ln w="28575" cap="rnd">
              <a:solidFill>
                <a:srgbClr val="00B050"/>
              </a:solidFill>
              <a:round/>
            </a:ln>
            <a:effectLst/>
          </c:spPr>
          <c:marker>
            <c:symbol val="none"/>
          </c:marker>
          <c:dLbls>
            <c:dLbl>
              <c:idx val="0"/>
              <c:layout>
                <c:manualLayout>
                  <c:x val="-2.2222222222222223E-2"/>
                  <c:y val="8.333333333333324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9C1-4DCF-8B81-0BC48AAED751}"/>
                </c:ext>
              </c:extLst>
            </c:dLbl>
            <c:dLbl>
              <c:idx val="1"/>
              <c:layout>
                <c:manualLayout>
                  <c:x val="0"/>
                  <c:y val="4.166666666666658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9C1-4DCF-8B81-0BC48AAED751}"/>
                </c:ext>
              </c:extLst>
            </c:dLbl>
            <c:dLbl>
              <c:idx val="2"/>
              <c:layout>
                <c:manualLayout>
                  <c:x val="0"/>
                  <c:y val="5.555555555555555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9C1-4DCF-8B81-0BC48AAED751}"/>
                </c:ext>
              </c:extLst>
            </c:dLbl>
            <c:dLbl>
              <c:idx val="3"/>
              <c:layout>
                <c:manualLayout>
                  <c:x val="0"/>
                  <c:y val="4.629629629629638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9C1-4DCF-8B81-0BC48AAED751}"/>
                </c:ext>
              </c:extLst>
            </c:dLbl>
            <c:dLbl>
              <c:idx val="4"/>
              <c:layout>
                <c:manualLayout>
                  <c:x val="0"/>
                  <c:y val="3.7037037037037035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9C1-4DCF-8B81-0BC48AAED751}"/>
                </c:ext>
              </c:extLst>
            </c:dLbl>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rgbClr val="00B050"/>
                    </a:solidFill>
                    <a:latin typeface="Arial" panose="020B0604020202020204" pitchFamily="34" charset="0"/>
                    <a:ea typeface="+mn-ea"/>
                    <a:cs typeface="Arial" panose="020B0604020202020204"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Mngmt!$J$7:$N$7</c:f>
              <c:numCache>
                <c:formatCode>General</c:formatCode>
                <c:ptCount val="5"/>
                <c:pt idx="0">
                  <c:v>2021</c:v>
                </c:pt>
                <c:pt idx="1">
                  <c:v>2022</c:v>
                </c:pt>
                <c:pt idx="2">
                  <c:v>2023</c:v>
                </c:pt>
                <c:pt idx="3">
                  <c:v>2024</c:v>
                </c:pt>
                <c:pt idx="4">
                  <c:v>2025</c:v>
                </c:pt>
              </c:numCache>
            </c:numRef>
          </c:cat>
          <c:val>
            <c:numRef>
              <c:f>Mngmt!$J$8:$N$8</c:f>
              <c:numCache>
                <c:formatCode>#,##0</c:formatCode>
                <c:ptCount val="5"/>
                <c:pt idx="0">
                  <c:v>-30000</c:v>
                </c:pt>
                <c:pt idx="1">
                  <c:v>130081.51008333336</c:v>
                </c:pt>
                <c:pt idx="2">
                  <c:v>322567.16337940696</c:v>
                </c:pt>
                <c:pt idx="3">
                  <c:v>472188.77941723942</c:v>
                </c:pt>
                <c:pt idx="4">
                  <c:v>618296.22212143708</c:v>
                </c:pt>
              </c:numCache>
            </c:numRef>
          </c:val>
          <c:smooth val="0"/>
          <c:extLst>
            <c:ext xmlns:c16="http://schemas.microsoft.com/office/drawing/2014/chart" uri="{C3380CC4-5D6E-409C-BE32-E72D297353CC}">
              <c16:uniqueId val="{00000006-09C1-4DCF-8B81-0BC48AAED751}"/>
            </c:ext>
          </c:extLst>
        </c:ser>
        <c:ser>
          <c:idx val="1"/>
          <c:order val="1"/>
          <c:tx>
            <c:strRef>
              <c:f>Mngmt!$I$9</c:f>
              <c:strCache>
                <c:ptCount val="1"/>
                <c:pt idx="0">
                  <c:v>Kumulatívny CF</c:v>
                </c:pt>
              </c:strCache>
            </c:strRef>
          </c:tx>
          <c:spPr>
            <a:ln w="28575" cap="rnd">
              <a:solidFill>
                <a:srgbClr val="002060"/>
              </a:solidFill>
              <a:round/>
            </a:ln>
            <a:effectLst/>
          </c:spPr>
          <c:marker>
            <c:symbol val="none"/>
          </c:marker>
          <c:dLbls>
            <c:dLbl>
              <c:idx val="0"/>
              <c:layout>
                <c:manualLayout>
                  <c:x val="-2.7777777777777776E-2"/>
                  <c:y val="-6.944444444444444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9C1-4DCF-8B81-0BC48AAED751}"/>
                </c:ext>
              </c:extLst>
            </c:dLbl>
            <c:dLbl>
              <c:idx val="1"/>
              <c:layout>
                <c:manualLayout>
                  <c:x val="-3.3333333333333333E-2"/>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9C1-4DCF-8B81-0BC48AAED751}"/>
                </c:ext>
              </c:extLst>
            </c:dLbl>
            <c:dLbl>
              <c:idx val="2"/>
              <c:layout>
                <c:manualLayout>
                  <c:x val="-3.3333333333333381E-2"/>
                  <c:y val="-8.79629629629630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9C1-4DCF-8B81-0BC48AAED751}"/>
                </c:ext>
              </c:extLst>
            </c:dLbl>
            <c:dLbl>
              <c:idx val="3"/>
              <c:layout>
                <c:manualLayout>
                  <c:x val="-2.7777777777777776E-2"/>
                  <c:y val="-7.870370370370370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9C1-4DCF-8B81-0BC48AAED751}"/>
                </c:ext>
              </c:extLst>
            </c:dLbl>
            <c:dLbl>
              <c:idx val="4"/>
              <c:layout>
                <c:manualLayout>
                  <c:x val="-4.4444444444444543E-2"/>
                  <c:y val="-7.407407407407409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9C1-4DCF-8B81-0BC48AAED751}"/>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rgbClr val="002060"/>
                    </a:solidFill>
                    <a:latin typeface="Arial" panose="020B0604020202020204" pitchFamily="34" charset="0"/>
                    <a:ea typeface="+mn-ea"/>
                    <a:cs typeface="Arial" panose="020B0604020202020204"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Mngmt!$J$7:$N$7</c:f>
              <c:numCache>
                <c:formatCode>General</c:formatCode>
                <c:ptCount val="5"/>
                <c:pt idx="0">
                  <c:v>2021</c:v>
                </c:pt>
                <c:pt idx="1">
                  <c:v>2022</c:v>
                </c:pt>
                <c:pt idx="2">
                  <c:v>2023</c:v>
                </c:pt>
                <c:pt idx="3">
                  <c:v>2024</c:v>
                </c:pt>
                <c:pt idx="4">
                  <c:v>2025</c:v>
                </c:pt>
              </c:numCache>
            </c:numRef>
          </c:cat>
          <c:val>
            <c:numRef>
              <c:f>Mngmt!$J$9:$N$9</c:f>
              <c:numCache>
                <c:formatCode>#,##0</c:formatCode>
                <c:ptCount val="5"/>
                <c:pt idx="0">
                  <c:v>-30000</c:v>
                </c:pt>
                <c:pt idx="1">
                  <c:v>100081.51008333336</c:v>
                </c:pt>
                <c:pt idx="2">
                  <c:v>422648.67346274032</c:v>
                </c:pt>
                <c:pt idx="3">
                  <c:v>894837.45287997974</c:v>
                </c:pt>
                <c:pt idx="4">
                  <c:v>1513133.6750014168</c:v>
                </c:pt>
              </c:numCache>
            </c:numRef>
          </c:val>
          <c:smooth val="0"/>
          <c:extLst>
            <c:ext xmlns:c16="http://schemas.microsoft.com/office/drawing/2014/chart" uri="{C3380CC4-5D6E-409C-BE32-E72D297353CC}">
              <c16:uniqueId val="{0000000D-09C1-4DCF-8B81-0BC48AAED751}"/>
            </c:ext>
          </c:extLst>
        </c:ser>
        <c:dLbls>
          <c:showLegendKey val="0"/>
          <c:showVal val="0"/>
          <c:showCatName val="0"/>
          <c:showSerName val="0"/>
          <c:showPercent val="0"/>
          <c:showBubbleSize val="0"/>
        </c:dLbls>
        <c:smooth val="0"/>
        <c:axId val="484708792"/>
        <c:axId val="484704632"/>
      </c:lineChart>
      <c:catAx>
        <c:axId val="48470879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7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sk-SK"/>
          </a:p>
        </c:txPr>
        <c:crossAx val="484704632"/>
        <c:crosses val="autoZero"/>
        <c:auto val="1"/>
        <c:lblAlgn val="ctr"/>
        <c:lblOffset val="100"/>
        <c:noMultiLvlLbl val="0"/>
      </c:catAx>
      <c:valAx>
        <c:axId val="48470463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sk-SK"/>
          </a:p>
        </c:txPr>
        <c:crossAx val="4847087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sk-SK"/>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sk-SK"/>
              <a:t>Tržby</a:t>
            </a:r>
            <a:r>
              <a:rPr lang="en-US"/>
              <a:t> a </a:t>
            </a:r>
            <a:r>
              <a:rPr lang="sk-SK"/>
              <a:t>Upravená</a:t>
            </a:r>
            <a:r>
              <a:rPr lang="en-US"/>
              <a:t> EBITDA %</a:t>
            </a:r>
          </a:p>
        </c:rich>
      </c:tx>
      <c:layout>
        <c:manualLayout>
          <c:xMode val="edge"/>
          <c:yMode val="edge"/>
          <c:x val="0.30859990727862774"/>
          <c:y val="5.2576235541535225E-2"/>
        </c:manualLayout>
      </c:layout>
      <c:overlay val="0"/>
    </c:title>
    <c:autoTitleDeleted val="0"/>
    <c:plotArea>
      <c:layout>
        <c:manualLayout>
          <c:layoutTarget val="inner"/>
          <c:xMode val="edge"/>
          <c:yMode val="edge"/>
          <c:x val="0.14525405290958934"/>
          <c:y val="0.15098211304028636"/>
          <c:w val="0.6182564366519554"/>
          <c:h val="0.73710281482953444"/>
        </c:manualLayout>
      </c:layout>
      <c:barChart>
        <c:barDir val="col"/>
        <c:grouping val="clustered"/>
        <c:varyColors val="0"/>
        <c:ser>
          <c:idx val="0"/>
          <c:order val="0"/>
          <c:spPr>
            <a:solidFill>
              <a:srgbClr val="00587A"/>
            </a:solidFill>
            <a:ln w="3175">
              <a:solidFill>
                <a:srgbClr val="FFFFFF"/>
              </a:solidFill>
              <a:prstDash val="solid"/>
            </a:ln>
          </c:spPr>
          <c:invertIfNegative val="0"/>
          <c:cat>
            <c:strRef>
              <c:f>Sumár!$E$7:$I$7</c:f>
              <c:strCache>
                <c:ptCount val="5"/>
                <c:pt idx="0">
                  <c:v>FY19</c:v>
                </c:pt>
                <c:pt idx="1">
                  <c:v>FY20</c:v>
                </c:pt>
                <c:pt idx="2">
                  <c:v>FY21</c:v>
                </c:pt>
                <c:pt idx="3">
                  <c:v>FY22</c:v>
                </c:pt>
                <c:pt idx="4">
                  <c:v>FY23</c:v>
                </c:pt>
              </c:strCache>
            </c:strRef>
          </c:cat>
          <c:val>
            <c:numRef>
              <c:f>Sumár!$E$8:$I$8</c:f>
              <c:numCache>
                <c:formatCode>#\ ##0;\(#\ ##0\);\-\ </c:formatCode>
                <c:ptCount val="5"/>
                <c:pt idx="0">
                  <c:v>0</c:v>
                </c:pt>
                <c:pt idx="1">
                  <c:v>0</c:v>
                </c:pt>
                <c:pt idx="2">
                  <c:v>0</c:v>
                </c:pt>
                <c:pt idx="3">
                  <c:v>0</c:v>
                </c:pt>
                <c:pt idx="4">
                  <c:v>0</c:v>
                </c:pt>
              </c:numCache>
            </c:numRef>
          </c:val>
          <c:extLst>
            <c:ext xmlns:c15="http://schemas.microsoft.com/office/drawing/2012/chart" uri="{02D57815-91ED-43cb-92C2-25804820EDAC}">
              <c15:filteredSeriesTitle>
                <c15:tx>
                  <c:strRef>
                    <c:extLst>
                      <c:ext uri="{02D57815-91ED-43cb-92C2-25804820EDAC}">
                        <c15:formulaRef>
                          <c15:sqref>Summary!#REF!</c15:sqref>
                        </c15:formulaRef>
                      </c:ext>
                    </c:extLst>
                  </c:strRef>
                </c15:tx>
              </c15:filteredSeriesTitle>
            </c:ext>
            <c:ext xmlns:c16="http://schemas.microsoft.com/office/drawing/2014/chart" uri="{C3380CC4-5D6E-409C-BE32-E72D297353CC}">
              <c16:uniqueId val="{00000000-F52D-4CB2-A586-1BF33DAC18E2}"/>
            </c:ext>
          </c:extLst>
        </c:ser>
        <c:dLbls>
          <c:showLegendKey val="0"/>
          <c:showVal val="0"/>
          <c:showCatName val="0"/>
          <c:showSerName val="0"/>
          <c:showPercent val="0"/>
          <c:showBubbleSize val="0"/>
        </c:dLbls>
        <c:gapWidth val="40"/>
        <c:axId val="852767792"/>
        <c:axId val="852764656"/>
      </c:barChart>
      <c:lineChart>
        <c:grouping val="standard"/>
        <c:varyColors val="0"/>
        <c:ser>
          <c:idx val="1"/>
          <c:order val="1"/>
          <c:marker>
            <c:symbol val="none"/>
          </c:marker>
          <c:cat>
            <c:strRef>
              <c:f>Sumár!$E$7:$I$7</c:f>
              <c:strCache>
                <c:ptCount val="5"/>
                <c:pt idx="0">
                  <c:v>FY19</c:v>
                </c:pt>
                <c:pt idx="1">
                  <c:v>FY20</c:v>
                </c:pt>
                <c:pt idx="2">
                  <c:v>FY21</c:v>
                </c:pt>
                <c:pt idx="3">
                  <c:v>FY22</c:v>
                </c:pt>
                <c:pt idx="4">
                  <c:v>FY23</c:v>
                </c:pt>
              </c:strCache>
            </c:strRef>
          </c:cat>
          <c:val>
            <c:numRef>
              <c:f>Sumár!$E$12:$I$12</c:f>
              <c:numCache>
                <c:formatCode>#\ ##0%;\(#\ ##0%\);\ \-\ </c:formatCode>
                <c:ptCount val="5"/>
                <c:pt idx="0">
                  <c:v>0</c:v>
                </c:pt>
                <c:pt idx="1">
                  <c:v>0</c:v>
                </c:pt>
                <c:pt idx="2">
                  <c:v>0</c:v>
                </c:pt>
                <c:pt idx="3">
                  <c:v>0</c:v>
                </c:pt>
                <c:pt idx="4">
                  <c:v>0</c:v>
                </c:pt>
              </c:numCache>
            </c:numRef>
          </c:val>
          <c:smooth val="0"/>
          <c:extLst>
            <c:ext xmlns:c15="http://schemas.microsoft.com/office/drawing/2012/chart" uri="{02D57815-91ED-43cb-92C2-25804820EDAC}">
              <c15:filteredSeriesTitle>
                <c15:tx>
                  <c:strRef>
                    <c:extLst>
                      <c:ext uri="{02D57815-91ED-43cb-92C2-25804820EDAC}">
                        <c15:formulaRef>
                          <c15:sqref>Summary!#REF!</c15:sqref>
                        </c15:formulaRef>
                      </c:ext>
                    </c:extLst>
                  </c:strRef>
                </c15:tx>
              </c15:filteredSeriesTitle>
            </c:ext>
            <c:ext xmlns:c16="http://schemas.microsoft.com/office/drawing/2014/chart" uri="{C3380CC4-5D6E-409C-BE32-E72D297353CC}">
              <c16:uniqueId val="{00000001-F52D-4CB2-A586-1BF33DAC18E2}"/>
            </c:ext>
          </c:extLst>
        </c:ser>
        <c:dLbls>
          <c:showLegendKey val="0"/>
          <c:showVal val="0"/>
          <c:showCatName val="0"/>
          <c:showSerName val="0"/>
          <c:showPercent val="0"/>
          <c:showBubbleSize val="0"/>
        </c:dLbls>
        <c:marker val="1"/>
        <c:smooth val="0"/>
        <c:axId val="852767008"/>
        <c:axId val="852765440"/>
      </c:lineChart>
      <c:catAx>
        <c:axId val="852767792"/>
        <c:scaling>
          <c:orientation val="minMax"/>
        </c:scaling>
        <c:delete val="0"/>
        <c:axPos val="b"/>
        <c:numFmt formatCode="General" sourceLinked="1"/>
        <c:majorTickMark val="out"/>
        <c:minorTickMark val="none"/>
        <c:tickLblPos val="low"/>
        <c:spPr>
          <a:ln w="3175">
            <a:solidFill>
              <a:srgbClr val="000000"/>
            </a:solidFill>
            <a:prstDash val="solid"/>
          </a:ln>
        </c:spPr>
        <c:txPr>
          <a:bodyPr/>
          <a:lstStyle/>
          <a:p>
            <a:pPr>
              <a:defRPr>
                <a:solidFill>
                  <a:srgbClr val="000000"/>
                </a:solidFill>
              </a:defRPr>
            </a:pPr>
            <a:endParaRPr lang="sk-SK"/>
          </a:p>
        </c:txPr>
        <c:crossAx val="852764656"/>
        <c:crosses val="autoZero"/>
        <c:auto val="1"/>
        <c:lblAlgn val="ctr"/>
        <c:lblOffset val="100"/>
        <c:noMultiLvlLbl val="0"/>
      </c:catAx>
      <c:valAx>
        <c:axId val="852764656"/>
        <c:scaling>
          <c:orientation val="minMax"/>
        </c:scaling>
        <c:delete val="0"/>
        <c:axPos val="l"/>
        <c:numFmt formatCode="#\ ##0;\(#\ ##0\);\-\ " sourceLinked="1"/>
        <c:majorTickMark val="out"/>
        <c:minorTickMark val="none"/>
        <c:tickLblPos val="nextTo"/>
        <c:spPr>
          <a:ln w="3175">
            <a:solidFill>
              <a:srgbClr val="000000"/>
            </a:solidFill>
            <a:prstDash val="solid"/>
          </a:ln>
        </c:spPr>
        <c:txPr>
          <a:bodyPr/>
          <a:lstStyle/>
          <a:p>
            <a:pPr>
              <a:defRPr>
                <a:solidFill>
                  <a:srgbClr val="000000"/>
                </a:solidFill>
              </a:defRPr>
            </a:pPr>
            <a:endParaRPr lang="sk-SK"/>
          </a:p>
        </c:txPr>
        <c:crossAx val="852767792"/>
        <c:crosses val="autoZero"/>
        <c:crossBetween val="between"/>
      </c:valAx>
      <c:valAx>
        <c:axId val="852765440"/>
        <c:scaling>
          <c:orientation val="minMax"/>
        </c:scaling>
        <c:delete val="0"/>
        <c:axPos val="r"/>
        <c:numFmt formatCode="0%;\(0%\);\ \-\ " sourceLinked="0"/>
        <c:majorTickMark val="out"/>
        <c:minorTickMark val="none"/>
        <c:tickLblPos val="nextTo"/>
        <c:crossAx val="852767008"/>
        <c:crosses val="max"/>
        <c:crossBetween val="between"/>
      </c:valAx>
      <c:catAx>
        <c:axId val="852767008"/>
        <c:scaling>
          <c:orientation val="minMax"/>
        </c:scaling>
        <c:delete val="1"/>
        <c:axPos val="b"/>
        <c:numFmt formatCode="General" sourceLinked="1"/>
        <c:majorTickMark val="out"/>
        <c:minorTickMark val="none"/>
        <c:tickLblPos val="nextTo"/>
        <c:crossAx val="852765440"/>
        <c:crosses val="autoZero"/>
        <c:auto val="1"/>
        <c:lblAlgn val="ctr"/>
        <c:lblOffset val="100"/>
        <c:noMultiLvlLbl val="0"/>
      </c:catAx>
      <c:spPr>
        <a:noFill/>
        <a:ln w="25400">
          <a:noFill/>
        </a:ln>
      </c:spPr>
    </c:plotArea>
    <c:plotVisOnly val="1"/>
    <c:dispBlanksAs val="gap"/>
    <c:showDLblsOverMax val="0"/>
  </c:chart>
  <c:spPr>
    <a:noFill/>
    <a:ln w="6350">
      <a:noFill/>
    </a:ln>
  </c:spPr>
  <c:txPr>
    <a:bodyPr/>
    <a:lstStyle/>
    <a:p>
      <a:pPr>
        <a:defRPr sz="800" b="0" i="0">
          <a:solidFill>
            <a:srgbClr val="000000"/>
          </a:solidFill>
          <a:latin typeface="Arial"/>
          <a:ea typeface="Arial"/>
          <a:cs typeface="Arial"/>
        </a:defRPr>
      </a:pPr>
      <a:endParaRPr lang="sk-S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21221192906713696"/>
          <c:y val="0.10873172478637601"/>
          <c:w val="0.62449232408493616"/>
          <c:h val="0.6492204097414539"/>
        </c:manualLayout>
      </c:layout>
      <c:barChart>
        <c:barDir val="col"/>
        <c:grouping val="stacked"/>
        <c:varyColors val="0"/>
        <c:ser>
          <c:idx val="1"/>
          <c:order val="1"/>
          <c:tx>
            <c:strRef>
              <c:f>'Detailné výkazy'!$C$8</c:f>
              <c:strCache>
                <c:ptCount val="1"/>
                <c:pt idx="0">
                  <c:v>Revenues</c:v>
                </c:pt>
              </c:strCache>
              <c:extLst xmlns:c15="http://schemas.microsoft.com/office/drawing/2012/chart"/>
            </c:strRef>
          </c:tx>
          <c:spPr>
            <a:solidFill>
              <a:srgbClr val="00587A"/>
            </a:solidFill>
            <a:ln w="3175" cap="flat" cmpd="sng" algn="ctr">
              <a:solidFill>
                <a:srgbClr val="FFFFFF"/>
              </a:solidFill>
              <a:prstDash val="solid"/>
              <a:round/>
            </a:ln>
            <a:effectLst/>
          </c:spPr>
          <c:invertIfNegative val="0"/>
          <c:val>
            <c:numRef>
              <c:f>'Detailné výkazy'!$E$11:$I$11</c:f>
              <c:numCache>
                <c:formatCode>#\ ##0;\(#\ ##0\);\-\ </c:formatCode>
                <c:ptCount val="5"/>
                <c:pt idx="0">
                  <c:v>0</c:v>
                </c:pt>
                <c:pt idx="1">
                  <c:v>0</c:v>
                </c:pt>
                <c:pt idx="2">
                  <c:v>0</c:v>
                </c:pt>
                <c:pt idx="3">
                  <c:v>0</c:v>
                </c:pt>
                <c:pt idx="4">
                  <c:v>0</c:v>
                </c:pt>
              </c:numCache>
            </c:numRef>
          </c:val>
          <c:extLst>
            <c:ext xmlns:c16="http://schemas.microsoft.com/office/drawing/2014/chart" uri="{C3380CC4-5D6E-409C-BE32-E72D297353CC}">
              <c16:uniqueId val="{00000000-3B7C-413B-A1C5-28EBCBD3246D}"/>
            </c:ext>
          </c:extLst>
        </c:ser>
        <c:dLbls>
          <c:showLegendKey val="0"/>
          <c:showVal val="0"/>
          <c:showCatName val="0"/>
          <c:showSerName val="0"/>
          <c:showPercent val="0"/>
          <c:showBubbleSize val="0"/>
        </c:dLbls>
        <c:gapWidth val="40"/>
        <c:overlap val="100"/>
        <c:axId val="694170024"/>
        <c:axId val="694171984"/>
      </c:barChart>
      <c:lineChart>
        <c:grouping val="standard"/>
        <c:varyColors val="0"/>
        <c:ser>
          <c:idx val="0"/>
          <c:order val="0"/>
          <c:tx>
            <c:v>EBITDA</c:v>
          </c:tx>
          <c:spPr>
            <a:ln w="15875" cap="rnd">
              <a:solidFill>
                <a:srgbClr val="FFC000"/>
              </a:solidFill>
              <a:round/>
            </a:ln>
            <a:effectLst/>
          </c:spPr>
          <c:marker>
            <c:symbol val="none"/>
          </c:marker>
          <c:cat>
            <c:strRef>
              <c:f>'Detailné výkazy'!$E$7:$I$7</c:f>
              <c:strCache>
                <c:ptCount val="5"/>
                <c:pt idx="0">
                  <c:v>FY19</c:v>
                </c:pt>
                <c:pt idx="1">
                  <c:v>FY20</c:v>
                </c:pt>
                <c:pt idx="2">
                  <c:v>FY21</c:v>
                </c:pt>
                <c:pt idx="3">
                  <c:v>FY22</c:v>
                </c:pt>
                <c:pt idx="4">
                  <c:v>FY23</c:v>
                </c:pt>
              </c:strCache>
            </c:strRef>
          </c:cat>
          <c:val>
            <c:numRef>
              <c:f>'Detailné výkazy'!$E$51:$I$51</c:f>
              <c:numCache>
                <c:formatCode>#\ ##0;\(#\ ##0\);\-\ </c:formatCode>
                <c:ptCount val="5"/>
                <c:pt idx="0">
                  <c:v>0</c:v>
                </c:pt>
                <c:pt idx="1">
                  <c:v>0</c:v>
                </c:pt>
                <c:pt idx="2">
                  <c:v>0</c:v>
                </c:pt>
                <c:pt idx="3">
                  <c:v>0</c:v>
                </c:pt>
                <c:pt idx="4">
                  <c:v>0</c:v>
                </c:pt>
              </c:numCache>
            </c:numRef>
          </c:val>
          <c:smooth val="1"/>
          <c:extLst>
            <c:ext xmlns:c16="http://schemas.microsoft.com/office/drawing/2014/chart" uri="{C3380CC4-5D6E-409C-BE32-E72D297353CC}">
              <c16:uniqueId val="{00000001-3B7C-413B-A1C5-28EBCBD3246D}"/>
            </c:ext>
          </c:extLst>
        </c:ser>
        <c:dLbls>
          <c:showLegendKey val="0"/>
          <c:showVal val="0"/>
          <c:showCatName val="0"/>
          <c:showSerName val="0"/>
          <c:showPercent val="0"/>
          <c:showBubbleSize val="0"/>
        </c:dLbls>
        <c:marker val="1"/>
        <c:smooth val="0"/>
        <c:axId val="694172376"/>
        <c:axId val="694169240"/>
      </c:lineChart>
      <c:catAx>
        <c:axId val="694170024"/>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sk-SK"/>
          </a:p>
        </c:txPr>
        <c:crossAx val="694171984"/>
        <c:crosses val="autoZero"/>
        <c:auto val="1"/>
        <c:lblAlgn val="ctr"/>
        <c:lblOffset val="100"/>
        <c:noMultiLvlLbl val="0"/>
      </c:catAx>
      <c:valAx>
        <c:axId val="694171984"/>
        <c:scaling>
          <c:orientation val="minMax"/>
        </c:scaling>
        <c:delete val="0"/>
        <c:axPos val="l"/>
        <c:majorGridlines>
          <c:spPr>
            <a:ln w="9525" cap="flat" cmpd="sng" algn="ctr">
              <a:solidFill>
                <a:schemeClr val="tx1">
                  <a:lumMod val="15000"/>
                  <a:lumOff val="85000"/>
                </a:schemeClr>
              </a:solidFill>
              <a:round/>
            </a:ln>
            <a:effectLst/>
          </c:spPr>
        </c:majorGridlines>
        <c:numFmt formatCode="#\ ##0;\(#\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sk-SK"/>
          </a:p>
        </c:txPr>
        <c:crossAx val="694170024"/>
        <c:crosses val="autoZero"/>
        <c:crossBetween val="between"/>
      </c:valAx>
      <c:valAx>
        <c:axId val="694169240"/>
        <c:scaling>
          <c:orientation val="minMax"/>
        </c:scaling>
        <c:delete val="0"/>
        <c:axPos val="r"/>
        <c:numFmt formatCode="#\ ##0;\(#\ ##0\);\-\ "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sk-SK"/>
          </a:p>
        </c:txPr>
        <c:crossAx val="694172376"/>
        <c:crosses val="max"/>
        <c:crossBetween val="between"/>
      </c:valAx>
      <c:catAx>
        <c:axId val="694172376"/>
        <c:scaling>
          <c:orientation val="minMax"/>
        </c:scaling>
        <c:delete val="1"/>
        <c:axPos val="b"/>
        <c:numFmt formatCode="General" sourceLinked="1"/>
        <c:majorTickMark val="none"/>
        <c:minorTickMark val="none"/>
        <c:tickLblPos val="nextTo"/>
        <c:crossAx val="694169240"/>
        <c:crosses val="autoZero"/>
        <c:auto val="1"/>
        <c:lblAlgn val="ctr"/>
        <c:lblOffset val="100"/>
        <c:noMultiLvlLbl val="0"/>
      </c:catAx>
      <c:spPr>
        <a:noFill/>
        <a:ln>
          <a:noFill/>
        </a:ln>
        <a:effectLst/>
      </c:spPr>
    </c:plotArea>
    <c:legend>
      <c:legendPos val="b"/>
      <c:layout>
        <c:manualLayout>
          <c:xMode val="edge"/>
          <c:yMode val="edge"/>
          <c:x val="0.2962370676973235"/>
          <c:y val="0.8510752895284649"/>
          <c:w val="0.39586134156480512"/>
          <c:h val="0.1056745494781691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50000"/>
                  <a:lumOff val="50000"/>
                </a:schemeClr>
              </a:solidFill>
              <a:latin typeface="+mn-lt"/>
              <a:ea typeface="+mn-ea"/>
              <a:cs typeface="+mn-cs"/>
            </a:defRPr>
          </a:pPr>
          <a:endParaRPr lang="sk-SK"/>
        </a:p>
      </c:txPr>
    </c:legend>
    <c:plotVisOnly val="1"/>
    <c:dispBlanksAs val="gap"/>
    <c:showDLblsOverMax val="0"/>
  </c:chart>
  <c:spPr>
    <a:solidFill>
      <a:schemeClr val="bg1"/>
    </a:solid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spPr>
            <a:solidFill>
              <a:srgbClr val="00587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700" b="1"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trendline>
            <c:spPr>
              <a:ln w="19050" cap="rnd">
                <a:solidFill>
                  <a:schemeClr val="accent2"/>
                </a:solidFill>
                <a:prstDash val="sysDot"/>
              </a:ln>
              <a:effectLst/>
            </c:spPr>
            <c:trendlineType val="linear"/>
            <c:dispRSqr val="0"/>
            <c:dispEq val="0"/>
          </c:trendline>
          <c:cat>
            <c:numRef>
              <c:f>_Market!$C$5:$O$5</c:f>
              <c:numCache>
                <c:formatCode>General</c:formatCode>
                <c:ptCount val="13"/>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numCache>
            </c:numRef>
          </c:cat>
          <c:val>
            <c:numRef>
              <c:f>_Market!$C$7:$O$7</c:f>
              <c:numCache>
                <c:formatCode>0.00</c:formatCode>
                <c:ptCount val="13"/>
                <c:pt idx="0">
                  <c:v>3.5154000000000001</c:v>
                </c:pt>
                <c:pt idx="1">
                  <c:v>4.1199000000000003</c:v>
                </c:pt>
                <c:pt idx="2">
                  <c:v>4.4826000000000006</c:v>
                </c:pt>
                <c:pt idx="3">
                  <c:v>5.8125</c:v>
                </c:pt>
                <c:pt idx="4">
                  <c:v>7.1331000000000007</c:v>
                </c:pt>
                <c:pt idx="5">
                  <c:v>8.277000000000001</c:v>
                </c:pt>
                <c:pt idx="6">
                  <c:v>9.7464000000000013</c:v>
                </c:pt>
                <c:pt idx="7">
                  <c:v>10.992600000000001</c:v>
                </c:pt>
                <c:pt idx="8">
                  <c:v>12.136500000000002</c:v>
                </c:pt>
                <c:pt idx="9">
                  <c:v>13.224600000000001</c:v>
                </c:pt>
                <c:pt idx="10">
                  <c:v>14.2476</c:v>
                </c:pt>
                <c:pt idx="11">
                  <c:v>15.270600000000002</c:v>
                </c:pt>
                <c:pt idx="12">
                  <c:v>16.293600000000001</c:v>
                </c:pt>
              </c:numCache>
            </c:numRef>
          </c:val>
          <c:extLst>
            <c:ext xmlns:c16="http://schemas.microsoft.com/office/drawing/2014/chart" uri="{C3380CC4-5D6E-409C-BE32-E72D297353CC}">
              <c16:uniqueId val="{00000000-7E28-411E-9CDF-3242FD7E9C75}"/>
            </c:ext>
          </c:extLst>
        </c:ser>
        <c:dLbls>
          <c:showLegendKey val="0"/>
          <c:showVal val="0"/>
          <c:showCatName val="0"/>
          <c:showSerName val="0"/>
          <c:showPercent val="0"/>
          <c:showBubbleSize val="0"/>
        </c:dLbls>
        <c:gapWidth val="219"/>
        <c:overlap val="-27"/>
        <c:axId val="4661903"/>
        <c:axId val="4678703"/>
      </c:barChart>
      <c:catAx>
        <c:axId val="46619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700" b="1"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crossAx val="4678703"/>
        <c:crosses val="autoZero"/>
        <c:auto val="1"/>
        <c:lblAlgn val="ctr"/>
        <c:lblOffset val="100"/>
        <c:noMultiLvlLbl val="0"/>
      </c:catAx>
      <c:valAx>
        <c:axId val="4678703"/>
        <c:scaling>
          <c:orientation val="minMax"/>
        </c:scaling>
        <c:delete val="0"/>
        <c:axPos val="l"/>
        <c:majorGridlines>
          <c:spPr>
            <a:ln w="9525" cap="flat" cmpd="sng" algn="ctr">
              <a:solidFill>
                <a:schemeClr val="bg1">
                  <a:lumMod val="95000"/>
                  <a:alpha val="80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crossAx val="46619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spPr>
            <a:ln w="28575" cap="rnd">
              <a:solidFill>
                <a:srgbClr val="00587A"/>
              </a:solidFill>
              <a:round/>
            </a:ln>
            <a:effectLst/>
          </c:spPr>
          <c:marker>
            <c:symbol val="circle"/>
            <c:size val="5"/>
            <c:spPr>
              <a:solidFill>
                <a:srgbClr val="00587A"/>
              </a:solidFill>
              <a:ln w="9525">
                <a:solidFill>
                  <a:srgbClr val="00587A"/>
                </a:solidFill>
              </a:ln>
              <a:effectLst/>
            </c:spPr>
          </c:marker>
          <c:dLbls>
            <c:dLbl>
              <c:idx val="1"/>
              <c:layout>
                <c:manualLayout>
                  <c:x val="-8.3333333333333592E-3"/>
                  <c:y val="-5.555555555555560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7BBA-4324-AE97-C14C3446824B}"/>
                </c:ext>
              </c:extLst>
            </c:dLbl>
            <c:dLbl>
              <c:idx val="2"/>
              <c:layout>
                <c:manualLayout>
                  <c:x val="0"/>
                  <c:y val="1.85185185185185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7BBA-4324-AE97-C14C3446824B}"/>
                </c:ext>
              </c:extLst>
            </c:dLbl>
            <c:dLbl>
              <c:idx val="3"/>
              <c:layout>
                <c:manualLayout>
                  <c:x val="-1.6666666666666666E-2"/>
                  <c:y val="-7.4074074074074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7BBA-4324-AE97-C14C3446824B}"/>
                </c:ext>
              </c:extLst>
            </c:dLbl>
            <c:dLbl>
              <c:idx val="4"/>
              <c:layout>
                <c:manualLayout>
                  <c:x val="0"/>
                  <c:y val="4.16666666666666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BBA-4324-AE97-C14C3446824B}"/>
                </c:ext>
              </c:extLst>
            </c:dLbl>
            <c:dLbl>
              <c:idx val="5"/>
              <c:layout>
                <c:manualLayout>
                  <c:x val="-2.7777777777778798E-3"/>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BBA-4324-AE97-C14C3446824B}"/>
                </c:ext>
              </c:extLst>
            </c:dLbl>
            <c:dLbl>
              <c:idx val="6"/>
              <c:layout>
                <c:manualLayout>
                  <c:x val="2.777777777777676E-3"/>
                  <c:y val="3.703703703703699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BBA-4324-AE97-C14C3446824B}"/>
                </c:ext>
              </c:extLst>
            </c:dLbl>
            <c:dLbl>
              <c:idx val="7"/>
              <c:layout>
                <c:manualLayout>
                  <c:x val="0"/>
                  <c:y val="-6.0185185185185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BBA-4324-AE97-C14C3446824B}"/>
                </c:ext>
              </c:extLst>
            </c:dLbl>
            <c:dLbl>
              <c:idx val="8"/>
              <c:layout>
                <c:manualLayout>
                  <c:x val="-1.0185067526415994E-16"/>
                  <c:y val="4.62962962962962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7BBA-4324-AE97-C14C3446824B}"/>
                </c:ext>
              </c:extLst>
            </c:dLbl>
            <c:dLbl>
              <c:idx val="9"/>
              <c:layout>
                <c:manualLayout>
                  <c:x val="2.7777777777777779E-3"/>
                  <c:y val="-6.0185185185185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BBA-4324-AE97-C14C3446824B}"/>
                </c:ext>
              </c:extLst>
            </c:dLbl>
            <c:dLbl>
              <c:idx val="10"/>
              <c:layout>
                <c:manualLayout>
                  <c:x val="8.3333333333333332E-3"/>
                  <c:y val="5.092592592592592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7BBA-4324-AE97-C14C3446824B}"/>
                </c:ext>
              </c:extLst>
            </c:dLbl>
            <c:dLbl>
              <c:idx val="11"/>
              <c:layout>
                <c:manualLayout>
                  <c:x val="-8.3333333333334356E-3"/>
                  <c:y val="-6.018518518518521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7BBA-4324-AE97-C14C3446824B}"/>
                </c:ext>
              </c:extLst>
            </c:dLbl>
            <c:dLbl>
              <c:idx val="12"/>
              <c:layout>
                <c:manualLayout>
                  <c:x val="-2.7777777777779813E-3"/>
                  <c:y val="5.5555555555555552E-2"/>
                </c:manualLayout>
              </c:layout>
              <c:spPr>
                <a:noFill/>
                <a:ln>
                  <a:noFill/>
                </a:ln>
                <a:effectLst/>
              </c:spPr>
              <c:txPr>
                <a:bodyPr rot="0" spcFirstLastPara="1" vertOverflow="ellipsis" vert="horz" wrap="square" lIns="38100" tIns="19050" rIns="38100" bIns="19050" anchor="ctr" anchorCtr="0">
                  <a:spAutoFit/>
                </a:bodyPr>
                <a:lstStyle/>
                <a:p>
                  <a:pPr algn="ctr">
                    <a:defRPr lang="en-US" sz="700" b="0"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BBA-4324-AE97-C14C3446824B}"/>
                </c:ext>
              </c:extLst>
            </c:dLbl>
            <c:spPr>
              <a:noFill/>
              <a:ln>
                <a:noFill/>
              </a:ln>
              <a:effectLst/>
            </c:spPr>
            <c:txPr>
              <a:bodyPr rot="0" spcFirstLastPara="1" vertOverflow="ellipsis" vert="horz" wrap="square" lIns="38100" tIns="19050" rIns="38100" bIns="19050" anchor="ctr" anchorCtr="1">
                <a:spAutoFit/>
              </a:bodyPr>
              <a:lstStyle/>
              <a:p>
                <a:pPr>
                  <a:defRPr sz="700" b="0"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_Market!$C$5:$O$5</c:f>
              <c:numCache>
                <c:formatCode>General</c:formatCode>
                <c:ptCount val="13"/>
                <c:pt idx="0">
                  <c:v>2017</c:v>
                </c:pt>
                <c:pt idx="1">
                  <c:v>2018</c:v>
                </c:pt>
                <c:pt idx="2">
                  <c:v>2019</c:v>
                </c:pt>
                <c:pt idx="3">
                  <c:v>2020</c:v>
                </c:pt>
                <c:pt idx="4">
                  <c:v>2021</c:v>
                </c:pt>
                <c:pt idx="5">
                  <c:v>2022</c:v>
                </c:pt>
                <c:pt idx="6">
                  <c:v>2023</c:v>
                </c:pt>
                <c:pt idx="7">
                  <c:v>2024</c:v>
                </c:pt>
                <c:pt idx="8">
                  <c:v>2025</c:v>
                </c:pt>
                <c:pt idx="9">
                  <c:v>2026</c:v>
                </c:pt>
                <c:pt idx="10">
                  <c:v>2027</c:v>
                </c:pt>
                <c:pt idx="11">
                  <c:v>2028</c:v>
                </c:pt>
                <c:pt idx="12">
                  <c:v>2029</c:v>
                </c:pt>
              </c:numCache>
            </c:numRef>
          </c:cat>
          <c:val>
            <c:numRef>
              <c:f>_Market!$C$12:$O$12</c:f>
              <c:numCache>
                <c:formatCode>#,##0</c:formatCode>
                <c:ptCount val="13"/>
                <c:pt idx="0">
                  <c:v>2548.2000000000003</c:v>
                </c:pt>
                <c:pt idx="1">
                  <c:v>2743.5</c:v>
                </c:pt>
                <c:pt idx="2">
                  <c:v>2715.6000000000004</c:v>
                </c:pt>
                <c:pt idx="3">
                  <c:v>2836.5</c:v>
                </c:pt>
                <c:pt idx="4">
                  <c:v>3022.5</c:v>
                </c:pt>
                <c:pt idx="5">
                  <c:v>3106.2000000000003</c:v>
                </c:pt>
                <c:pt idx="6">
                  <c:v>3180.6000000000004</c:v>
                </c:pt>
                <c:pt idx="7">
                  <c:v>3236.4</c:v>
                </c:pt>
                <c:pt idx="8">
                  <c:v>3282.9</c:v>
                </c:pt>
                <c:pt idx="9">
                  <c:v>3310.8</c:v>
                </c:pt>
                <c:pt idx="10">
                  <c:v>3329.4</c:v>
                </c:pt>
                <c:pt idx="11">
                  <c:v>3348</c:v>
                </c:pt>
                <c:pt idx="12">
                  <c:v>3366.6000000000004</c:v>
                </c:pt>
              </c:numCache>
            </c:numRef>
          </c:val>
          <c:smooth val="0"/>
          <c:extLst>
            <c:ext xmlns:c16="http://schemas.microsoft.com/office/drawing/2014/chart" uri="{C3380CC4-5D6E-409C-BE32-E72D297353CC}">
              <c16:uniqueId val="{00000001-7BBA-4324-AE97-C14C3446824B}"/>
            </c:ext>
          </c:extLst>
        </c:ser>
        <c:dLbls>
          <c:showLegendKey val="0"/>
          <c:showVal val="0"/>
          <c:showCatName val="0"/>
          <c:showSerName val="0"/>
          <c:showPercent val="0"/>
          <c:showBubbleSize val="0"/>
        </c:dLbls>
        <c:marker val="1"/>
        <c:smooth val="0"/>
        <c:axId val="4661903"/>
        <c:axId val="4678703"/>
      </c:lineChart>
      <c:catAx>
        <c:axId val="46619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lgn="ctr">
              <a:defRPr lang="en-US" sz="700" b="1"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crossAx val="4678703"/>
        <c:crosses val="autoZero"/>
        <c:auto val="1"/>
        <c:lblAlgn val="ctr"/>
        <c:lblOffset val="100"/>
        <c:noMultiLvlLbl val="0"/>
      </c:catAx>
      <c:valAx>
        <c:axId val="4678703"/>
        <c:scaling>
          <c:orientation val="minMax"/>
          <c:max val="4000"/>
          <c:min val="1000"/>
        </c:scaling>
        <c:delete val="0"/>
        <c:axPos val="l"/>
        <c:majorGridlines>
          <c:spPr>
            <a:ln w="9525" cap="flat" cmpd="sng" algn="ctr">
              <a:solidFill>
                <a:schemeClr val="bg1">
                  <a:lumMod val="95000"/>
                  <a:alpha val="8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700" b="0" i="0" u="none" strike="noStrike" kern="1200" baseline="0">
                <a:solidFill>
                  <a:schemeClr val="tx1"/>
                </a:solidFill>
                <a:latin typeface="Lato" panose="020F0502020204030203" pitchFamily="34" charset="0"/>
                <a:ea typeface="Lato" panose="020F0502020204030203" pitchFamily="34" charset="0"/>
                <a:cs typeface="Lato" panose="020F0502020204030203" pitchFamily="34" charset="0"/>
              </a:defRPr>
            </a:pPr>
            <a:endParaRPr lang="sk-SK"/>
          </a:p>
        </c:txPr>
        <c:crossAx val="4661903"/>
        <c:crosses val="autoZero"/>
        <c:crossBetween val="between"/>
        <c:majorUnit val="2000"/>
        <c:minorUnit val="500"/>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sk-S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sk-SK"/>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a:lstStyle/>
          <a:p>
            <a:pPr>
              <a:defRPr/>
            </a:pPr>
            <a:r>
              <a:rPr lang="sk-SK"/>
              <a:t>Tržby</a:t>
            </a:r>
            <a:r>
              <a:rPr lang="en-US"/>
              <a:t> a </a:t>
            </a:r>
            <a:r>
              <a:rPr lang="sk-SK"/>
              <a:t>Upravená</a:t>
            </a:r>
            <a:r>
              <a:rPr lang="en-US"/>
              <a:t> EBITDA %</a:t>
            </a:r>
          </a:p>
        </c:rich>
      </c:tx>
      <c:layout>
        <c:manualLayout>
          <c:xMode val="edge"/>
          <c:yMode val="edge"/>
          <c:x val="0.30859990727862774"/>
          <c:y val="5.2576235541535225E-2"/>
        </c:manualLayout>
      </c:layout>
      <c:overlay val="0"/>
    </c:title>
    <c:autoTitleDeleted val="0"/>
    <c:plotArea>
      <c:layout>
        <c:manualLayout>
          <c:layoutTarget val="inner"/>
          <c:xMode val="edge"/>
          <c:yMode val="edge"/>
          <c:x val="0.14525405290958934"/>
          <c:y val="0.15098211304028636"/>
          <c:w val="0.6182564366519554"/>
          <c:h val="0.73710281482953444"/>
        </c:manualLayout>
      </c:layout>
      <c:barChart>
        <c:barDir val="col"/>
        <c:grouping val="clustered"/>
        <c:varyColors val="0"/>
        <c:ser>
          <c:idx val="0"/>
          <c:order val="0"/>
          <c:invertIfNegative val="0"/>
          <c:cat>
            <c:multiLvlStrRef>
              <c:f>'CAGR SK'!$E$7:$I$7</c:f>
            </c:multiLvlStrRef>
          </c:cat>
          <c:val>
            <c:numRef>
              <c:f>'CAGR SK'!$E$8:$I$8</c:f>
            </c:numRef>
          </c:val>
          <c:extLst>
            <c:ext xmlns:c15="http://schemas.microsoft.com/office/drawing/2012/chart" uri="{02D57815-91ED-43cb-92C2-25804820EDAC}">
              <c15:filteredSeriesTitle>
                <c15:tx>
                  <c:strRef>
                    <c:extLst>
                      <c:ext uri="{02D57815-91ED-43cb-92C2-25804820EDAC}">
                        <c15:formulaRef>
                          <c15:sqref>Summary!#REF!</c15:sqref>
                        </c15:formulaRef>
                      </c:ext>
                    </c:extLst>
                  </c:strRef>
                </c15:tx>
              </c15:filteredSeriesTitle>
            </c:ext>
            <c:ext xmlns:c16="http://schemas.microsoft.com/office/drawing/2014/chart" uri="{C3380CC4-5D6E-409C-BE32-E72D297353CC}">
              <c16:uniqueId val="{00000000-38C7-4CB7-BA92-2ED7213F5C5B}"/>
            </c:ext>
          </c:extLst>
        </c:ser>
        <c:dLbls>
          <c:showLegendKey val="0"/>
          <c:showVal val="0"/>
          <c:showCatName val="0"/>
          <c:showSerName val="0"/>
          <c:showPercent val="0"/>
          <c:showBubbleSize val="0"/>
        </c:dLbls>
        <c:gapWidth val="40"/>
        <c:axId val="852767792"/>
        <c:axId val="852764656"/>
      </c:barChart>
      <c:lineChart>
        <c:grouping val="standard"/>
        <c:varyColors val="0"/>
        <c:ser>
          <c:idx val="1"/>
          <c:order val="1"/>
          <c:marker>
            <c:symbol val="none"/>
          </c:marker>
          <c:cat>
            <c:multiLvlStrRef>
              <c:f>'CAGR SK'!$E$7:$I$7</c:f>
            </c:multiLvlStrRef>
          </c:cat>
          <c:val>
            <c:numRef>
              <c:f>'CAGR SK'!$E$12:$I$12</c:f>
            </c:numRef>
          </c:val>
          <c:smooth val="0"/>
          <c:extLst>
            <c:ext xmlns:c15="http://schemas.microsoft.com/office/drawing/2012/chart" uri="{02D57815-91ED-43cb-92C2-25804820EDAC}">
              <c15:filteredSeriesTitle>
                <c15:tx>
                  <c:strRef>
                    <c:extLst>
                      <c:ext uri="{02D57815-91ED-43cb-92C2-25804820EDAC}">
                        <c15:formulaRef>
                          <c15:sqref>Summary!#REF!</c15:sqref>
                        </c15:formulaRef>
                      </c:ext>
                    </c:extLst>
                  </c:strRef>
                </c15:tx>
              </c15:filteredSeriesTitle>
            </c:ext>
            <c:ext xmlns:c16="http://schemas.microsoft.com/office/drawing/2014/chart" uri="{C3380CC4-5D6E-409C-BE32-E72D297353CC}">
              <c16:uniqueId val="{00000001-38C7-4CB7-BA92-2ED7213F5C5B}"/>
            </c:ext>
          </c:extLst>
        </c:ser>
        <c:dLbls>
          <c:showLegendKey val="0"/>
          <c:showVal val="0"/>
          <c:showCatName val="0"/>
          <c:showSerName val="0"/>
          <c:showPercent val="0"/>
          <c:showBubbleSize val="0"/>
        </c:dLbls>
        <c:marker val="1"/>
        <c:smooth val="0"/>
        <c:axId val="852767008"/>
        <c:axId val="852765440"/>
      </c:lineChart>
      <c:catAx>
        <c:axId val="852767792"/>
        <c:scaling>
          <c:orientation val="minMax"/>
        </c:scaling>
        <c:delete val="0"/>
        <c:axPos val="b"/>
        <c:numFmt formatCode="General" sourceLinked="1"/>
        <c:majorTickMark val="out"/>
        <c:minorTickMark val="none"/>
        <c:tickLblPos val="low"/>
        <c:spPr>
          <a:ln w="3175">
            <a:solidFill>
              <a:srgbClr val="000000"/>
            </a:solidFill>
            <a:prstDash val="solid"/>
          </a:ln>
        </c:spPr>
        <c:txPr>
          <a:bodyPr/>
          <a:lstStyle/>
          <a:p>
            <a:pPr>
              <a:defRPr>
                <a:solidFill>
                  <a:srgbClr val="000000"/>
                </a:solidFill>
              </a:defRPr>
            </a:pPr>
            <a:endParaRPr lang="sk-SK"/>
          </a:p>
        </c:txPr>
        <c:crossAx val="852764656"/>
        <c:crosses val="autoZero"/>
        <c:auto val="1"/>
        <c:lblAlgn val="ctr"/>
        <c:lblOffset val="100"/>
        <c:noMultiLvlLbl val="0"/>
      </c:catAx>
      <c:valAx>
        <c:axId val="852764656"/>
        <c:scaling>
          <c:orientation val="minMax"/>
        </c:scaling>
        <c:delete val="0"/>
        <c:axPos val="l"/>
        <c:numFmt formatCode="#,##0;\(#,##0\);\-\ " sourceLinked="1"/>
        <c:majorTickMark val="out"/>
        <c:minorTickMark val="none"/>
        <c:tickLblPos val="nextTo"/>
        <c:spPr>
          <a:ln w="3175">
            <a:solidFill>
              <a:srgbClr val="000000"/>
            </a:solidFill>
            <a:prstDash val="solid"/>
          </a:ln>
        </c:spPr>
        <c:txPr>
          <a:bodyPr/>
          <a:lstStyle/>
          <a:p>
            <a:pPr>
              <a:defRPr>
                <a:solidFill>
                  <a:srgbClr val="000000"/>
                </a:solidFill>
              </a:defRPr>
            </a:pPr>
            <a:endParaRPr lang="sk-SK"/>
          </a:p>
        </c:txPr>
        <c:crossAx val="852767792"/>
        <c:crosses val="autoZero"/>
        <c:crossBetween val="between"/>
      </c:valAx>
      <c:valAx>
        <c:axId val="852765440"/>
        <c:scaling>
          <c:orientation val="minMax"/>
        </c:scaling>
        <c:delete val="0"/>
        <c:axPos val="r"/>
        <c:numFmt formatCode="0%;\(0%\);\ \-\ " sourceLinked="0"/>
        <c:majorTickMark val="out"/>
        <c:minorTickMark val="none"/>
        <c:tickLblPos val="nextTo"/>
        <c:crossAx val="852767008"/>
        <c:crosses val="max"/>
        <c:crossBetween val="between"/>
      </c:valAx>
      <c:catAx>
        <c:axId val="852767008"/>
        <c:scaling>
          <c:orientation val="minMax"/>
        </c:scaling>
        <c:delete val="1"/>
        <c:axPos val="b"/>
        <c:numFmt formatCode="General" sourceLinked="1"/>
        <c:majorTickMark val="out"/>
        <c:minorTickMark val="none"/>
        <c:tickLblPos val="nextTo"/>
        <c:crossAx val="852765440"/>
        <c:crosses val="autoZero"/>
        <c:auto val="1"/>
        <c:lblAlgn val="ctr"/>
        <c:lblOffset val="100"/>
        <c:noMultiLvlLbl val="0"/>
      </c:catAx>
      <c:spPr>
        <a:noFill/>
        <a:ln w="25400">
          <a:noFill/>
        </a:ln>
      </c:spPr>
    </c:plotArea>
    <c:plotVisOnly val="1"/>
    <c:dispBlanksAs val="gap"/>
    <c:showDLblsOverMax val="0"/>
  </c:chart>
  <c:spPr>
    <a:noFill/>
    <a:ln w="6350">
      <a:noFill/>
    </a:ln>
  </c:spPr>
  <c:txPr>
    <a:bodyPr/>
    <a:lstStyle/>
    <a:p>
      <a:pPr>
        <a:defRPr sz="800" b="0" i="0">
          <a:solidFill>
            <a:srgbClr val="000000"/>
          </a:solidFill>
          <a:latin typeface="Arial"/>
          <a:ea typeface="Arial"/>
          <a:cs typeface="Arial"/>
        </a:defRPr>
      </a:pPr>
      <a:endParaRPr lang="sk-S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325">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5"/>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75000"/>
            <a:lumOff val="25000"/>
          </a:schemeClr>
        </a:solidFill>
      </a:ln>
    </cs:spPr>
  </cs:downBar>
  <cs:dropLine>
    <cs:lnRef idx="0"/>
    <cs:fillRef idx="0"/>
    <cs:effectRef idx="0"/>
    <cs:fontRef idx="minor">
      <a:schemeClr val="dk1"/>
    </cs:fontRef>
    <cs:spPr>
      <a:ln w="9525">
        <a:solidFill>
          <a:schemeClr val="tx1">
            <a:lumMod val="75000"/>
            <a:lumOff val="25000"/>
          </a:schemeClr>
        </a:solidFill>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75000"/>
            <a:lumOff val="25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hyperlink" Target="#Assumptions!A1"/><Relationship Id="rId7" Type="http://schemas.openxmlformats.org/officeDocument/2006/relationships/image" Target="../media/image1.png"/><Relationship Id="rId2" Type="http://schemas.openxmlformats.org/officeDocument/2006/relationships/hyperlink" Target="#Projections!A1"/><Relationship Id="rId1" Type="http://schemas.openxmlformats.org/officeDocument/2006/relationships/hyperlink" Target="#'P&amp;L_Short'!A1"/><Relationship Id="rId6" Type="http://schemas.openxmlformats.org/officeDocument/2006/relationships/hyperlink" Target="#Scenario!A1"/><Relationship Id="rId5" Type="http://schemas.openxmlformats.org/officeDocument/2006/relationships/hyperlink" Target="#NWC!A1"/><Relationship Id="rId4" Type="http://schemas.openxmlformats.org/officeDocument/2006/relationships/hyperlink" Target="#'Cash Flow_Quaterly'!A1"/></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1</xdr:col>
      <xdr:colOff>342900</xdr:colOff>
      <xdr:row>19</xdr:row>
      <xdr:rowOff>22860</xdr:rowOff>
    </xdr:from>
    <xdr:to>
      <xdr:col>3</xdr:col>
      <xdr:colOff>48420</xdr:colOff>
      <xdr:row>20</xdr:row>
      <xdr:rowOff>127980</xdr:rowOff>
    </xdr:to>
    <xdr:sp macro="" textlink="">
      <xdr:nvSpPr>
        <xdr:cNvPr id="3" name="Obdĺžnik: zaoblené rohy 2">
          <a:hlinkClick xmlns:r="http://schemas.openxmlformats.org/officeDocument/2006/relationships" r:id="rId1"/>
          <a:extLst>
            <a:ext uri="{FF2B5EF4-FFF2-40B4-BE49-F238E27FC236}">
              <a16:creationId xmlns:a16="http://schemas.microsoft.com/office/drawing/2014/main" id="{380D1485-1C80-6DD1-6CF8-93398A2DD531}"/>
            </a:ext>
          </a:extLst>
        </xdr:cNvPr>
        <xdr:cNvSpPr/>
      </xdr:nvSpPr>
      <xdr:spPr>
        <a:xfrm>
          <a:off x="967740" y="3771900"/>
          <a:ext cx="1260000" cy="288000"/>
        </a:xfrm>
        <a:prstGeom prst="roundRect">
          <a:avLst/>
        </a:prstGeom>
        <a:solidFill>
          <a:schemeClr val="accent5">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700" b="1">
              <a:latin typeface="Arial" panose="020B0604020202020204" pitchFamily="34" charset="0"/>
              <a:cs typeface="Arial" panose="020B0604020202020204" pitchFamily="34" charset="0"/>
            </a:rPr>
            <a:t>Income</a:t>
          </a:r>
          <a:r>
            <a:rPr lang="en-US" sz="700" b="1" baseline="0">
              <a:latin typeface="Arial" panose="020B0604020202020204" pitchFamily="34" charset="0"/>
              <a:cs typeface="Arial" panose="020B0604020202020204" pitchFamily="34" charset="0"/>
            </a:rPr>
            <a:t> &amp; Expenditure</a:t>
          </a:r>
          <a:endParaRPr lang="sk-SK" sz="700" b="1">
            <a:latin typeface="Arial" panose="020B0604020202020204" pitchFamily="34" charset="0"/>
            <a:cs typeface="Arial" panose="020B0604020202020204" pitchFamily="34" charset="0"/>
          </a:endParaRPr>
        </a:p>
      </xdr:txBody>
    </xdr:sp>
    <xdr:clientData/>
  </xdr:twoCellAnchor>
  <xdr:twoCellAnchor>
    <xdr:from>
      <xdr:col>1</xdr:col>
      <xdr:colOff>335280</xdr:colOff>
      <xdr:row>21</xdr:row>
      <xdr:rowOff>53340</xdr:rowOff>
    </xdr:from>
    <xdr:to>
      <xdr:col>3</xdr:col>
      <xdr:colOff>40800</xdr:colOff>
      <xdr:row>22</xdr:row>
      <xdr:rowOff>158460</xdr:rowOff>
    </xdr:to>
    <xdr:sp macro="" textlink="">
      <xdr:nvSpPr>
        <xdr:cNvPr id="4" name="Obdĺžnik: zaoblené rohy 3">
          <a:hlinkClick xmlns:r="http://schemas.openxmlformats.org/officeDocument/2006/relationships" r:id="rId2"/>
          <a:extLst>
            <a:ext uri="{FF2B5EF4-FFF2-40B4-BE49-F238E27FC236}">
              <a16:creationId xmlns:a16="http://schemas.microsoft.com/office/drawing/2014/main" id="{8509C81A-421B-495D-BF8F-D5C38E1C68DD}"/>
            </a:ext>
          </a:extLst>
        </xdr:cNvPr>
        <xdr:cNvSpPr/>
      </xdr:nvSpPr>
      <xdr:spPr>
        <a:xfrm>
          <a:off x="960120" y="4168140"/>
          <a:ext cx="1260000" cy="288000"/>
        </a:xfrm>
        <a:prstGeom prst="roundRect">
          <a:avLst/>
        </a:prstGeom>
        <a:solidFill>
          <a:schemeClr val="accent5">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700" b="1">
              <a:latin typeface="Arial" panose="020B0604020202020204" pitchFamily="34" charset="0"/>
              <a:cs typeface="Arial" panose="020B0604020202020204" pitchFamily="34" charset="0"/>
            </a:rPr>
            <a:t>Financial statements</a:t>
          </a:r>
          <a:endParaRPr lang="sk-SK" sz="700" b="1">
            <a:latin typeface="Arial" panose="020B0604020202020204" pitchFamily="34" charset="0"/>
            <a:cs typeface="Arial" panose="020B0604020202020204" pitchFamily="34" charset="0"/>
          </a:endParaRPr>
        </a:p>
      </xdr:txBody>
    </xdr:sp>
    <xdr:clientData/>
  </xdr:twoCellAnchor>
  <xdr:twoCellAnchor>
    <xdr:from>
      <xdr:col>3</xdr:col>
      <xdr:colOff>198120</xdr:colOff>
      <xdr:row>19</xdr:row>
      <xdr:rowOff>22860</xdr:rowOff>
    </xdr:from>
    <xdr:to>
      <xdr:col>5</xdr:col>
      <xdr:colOff>597060</xdr:colOff>
      <xdr:row>20</xdr:row>
      <xdr:rowOff>127980</xdr:rowOff>
    </xdr:to>
    <xdr:sp macro="" textlink="">
      <xdr:nvSpPr>
        <xdr:cNvPr id="5" name="Obdĺžnik: zaoblené rohy 4">
          <a:hlinkClick xmlns:r="http://schemas.openxmlformats.org/officeDocument/2006/relationships" r:id="rId3"/>
          <a:extLst>
            <a:ext uri="{FF2B5EF4-FFF2-40B4-BE49-F238E27FC236}">
              <a16:creationId xmlns:a16="http://schemas.microsoft.com/office/drawing/2014/main" id="{CC34F93D-10F3-44F2-86C3-9C7C0D482DE7}"/>
            </a:ext>
          </a:extLst>
        </xdr:cNvPr>
        <xdr:cNvSpPr/>
      </xdr:nvSpPr>
      <xdr:spPr>
        <a:xfrm>
          <a:off x="2377440" y="3771900"/>
          <a:ext cx="1260000" cy="288000"/>
        </a:xfrm>
        <a:prstGeom prst="roundRect">
          <a:avLst/>
        </a:prstGeom>
        <a:solidFill>
          <a:schemeClr val="accent5">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700" b="1">
              <a:latin typeface="Arial" panose="020B0604020202020204" pitchFamily="34" charset="0"/>
              <a:cs typeface="Arial" panose="020B0604020202020204" pitchFamily="34" charset="0"/>
            </a:rPr>
            <a:t>Assumptions</a:t>
          </a:r>
          <a:endParaRPr lang="sk-SK" sz="700" b="1">
            <a:latin typeface="Arial" panose="020B0604020202020204" pitchFamily="34" charset="0"/>
            <a:cs typeface="Arial" panose="020B0604020202020204" pitchFamily="34" charset="0"/>
          </a:endParaRPr>
        </a:p>
      </xdr:txBody>
    </xdr:sp>
    <xdr:clientData/>
  </xdr:twoCellAnchor>
  <xdr:twoCellAnchor>
    <xdr:from>
      <xdr:col>3</xdr:col>
      <xdr:colOff>205740</xdr:colOff>
      <xdr:row>21</xdr:row>
      <xdr:rowOff>53340</xdr:rowOff>
    </xdr:from>
    <xdr:to>
      <xdr:col>5</xdr:col>
      <xdr:colOff>604680</xdr:colOff>
      <xdr:row>22</xdr:row>
      <xdr:rowOff>158460</xdr:rowOff>
    </xdr:to>
    <xdr:sp macro="" textlink="">
      <xdr:nvSpPr>
        <xdr:cNvPr id="6" name="Obdĺžnik: zaoblené rohy 5">
          <a:hlinkClick xmlns:r="http://schemas.openxmlformats.org/officeDocument/2006/relationships" r:id="rId4"/>
          <a:extLst>
            <a:ext uri="{FF2B5EF4-FFF2-40B4-BE49-F238E27FC236}">
              <a16:creationId xmlns:a16="http://schemas.microsoft.com/office/drawing/2014/main" id="{EAE15578-6EA5-4098-A5FB-DC3D920F1EFC}"/>
            </a:ext>
          </a:extLst>
        </xdr:cNvPr>
        <xdr:cNvSpPr/>
      </xdr:nvSpPr>
      <xdr:spPr>
        <a:xfrm>
          <a:off x="2385060" y="4168140"/>
          <a:ext cx="1260000" cy="288000"/>
        </a:xfrm>
        <a:prstGeom prst="roundRect">
          <a:avLst/>
        </a:prstGeom>
        <a:solidFill>
          <a:schemeClr val="accent5">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700" b="1">
              <a:latin typeface="Arial" panose="020B0604020202020204" pitchFamily="34" charset="0"/>
              <a:cs typeface="Arial" panose="020B0604020202020204" pitchFamily="34" charset="0"/>
            </a:rPr>
            <a:t>Cash Flow</a:t>
          </a:r>
          <a:r>
            <a:rPr lang="en-US" sz="700" b="1" baseline="0">
              <a:latin typeface="Arial" panose="020B0604020202020204" pitchFamily="34" charset="0"/>
              <a:cs typeface="Arial" panose="020B0604020202020204" pitchFamily="34" charset="0"/>
            </a:rPr>
            <a:t> (Q)</a:t>
          </a:r>
          <a:endParaRPr lang="sk-SK" sz="700" b="1">
            <a:latin typeface="Arial" panose="020B0604020202020204" pitchFamily="34" charset="0"/>
            <a:cs typeface="Arial" panose="020B0604020202020204" pitchFamily="34" charset="0"/>
          </a:endParaRPr>
        </a:p>
      </xdr:txBody>
    </xdr:sp>
    <xdr:clientData/>
  </xdr:twoCellAnchor>
  <xdr:twoCellAnchor>
    <xdr:from>
      <xdr:col>3</xdr:col>
      <xdr:colOff>213360</xdr:colOff>
      <xdr:row>23</xdr:row>
      <xdr:rowOff>91440</xdr:rowOff>
    </xdr:from>
    <xdr:to>
      <xdr:col>5</xdr:col>
      <xdr:colOff>612300</xdr:colOff>
      <xdr:row>25</xdr:row>
      <xdr:rowOff>13680</xdr:rowOff>
    </xdr:to>
    <xdr:sp macro="" textlink="">
      <xdr:nvSpPr>
        <xdr:cNvPr id="7" name="Obdĺžnik: zaoblené rohy 6">
          <a:hlinkClick xmlns:r="http://schemas.openxmlformats.org/officeDocument/2006/relationships" r:id="rId5"/>
          <a:extLst>
            <a:ext uri="{FF2B5EF4-FFF2-40B4-BE49-F238E27FC236}">
              <a16:creationId xmlns:a16="http://schemas.microsoft.com/office/drawing/2014/main" id="{805E6740-7115-4ADF-A1DD-C4431274466E}"/>
            </a:ext>
          </a:extLst>
        </xdr:cNvPr>
        <xdr:cNvSpPr/>
      </xdr:nvSpPr>
      <xdr:spPr>
        <a:xfrm>
          <a:off x="2392680" y="4572000"/>
          <a:ext cx="1260000" cy="288000"/>
        </a:xfrm>
        <a:prstGeom prst="roundRect">
          <a:avLst/>
        </a:prstGeom>
        <a:solidFill>
          <a:srgbClr val="0070C0"/>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700" b="1">
              <a:latin typeface="Arial" panose="020B0604020202020204" pitchFamily="34" charset="0"/>
              <a:cs typeface="Arial" panose="020B0604020202020204" pitchFamily="34" charset="0"/>
            </a:rPr>
            <a:t>Working</a:t>
          </a:r>
          <a:r>
            <a:rPr lang="en-US" sz="700" b="1" baseline="0">
              <a:latin typeface="Arial" panose="020B0604020202020204" pitchFamily="34" charset="0"/>
              <a:cs typeface="Arial" panose="020B0604020202020204" pitchFamily="34" charset="0"/>
            </a:rPr>
            <a:t> Capital</a:t>
          </a:r>
          <a:endParaRPr lang="sk-SK" sz="700" b="1">
            <a:latin typeface="Arial" panose="020B0604020202020204" pitchFamily="34" charset="0"/>
            <a:cs typeface="Arial" panose="020B0604020202020204" pitchFamily="34" charset="0"/>
          </a:endParaRPr>
        </a:p>
      </xdr:txBody>
    </xdr:sp>
    <xdr:clientData/>
  </xdr:twoCellAnchor>
  <xdr:twoCellAnchor>
    <xdr:from>
      <xdr:col>6</xdr:col>
      <xdr:colOff>129540</xdr:colOff>
      <xdr:row>23</xdr:row>
      <xdr:rowOff>91440</xdr:rowOff>
    </xdr:from>
    <xdr:to>
      <xdr:col>8</xdr:col>
      <xdr:colOff>139860</xdr:colOff>
      <xdr:row>25</xdr:row>
      <xdr:rowOff>13680</xdr:rowOff>
    </xdr:to>
    <xdr:sp macro="" textlink="">
      <xdr:nvSpPr>
        <xdr:cNvPr id="8" name="Obdĺžnik: zaoblené rohy 7">
          <a:hlinkClick xmlns:r="http://schemas.openxmlformats.org/officeDocument/2006/relationships" r:id="rId6"/>
          <a:extLst>
            <a:ext uri="{FF2B5EF4-FFF2-40B4-BE49-F238E27FC236}">
              <a16:creationId xmlns:a16="http://schemas.microsoft.com/office/drawing/2014/main" id="{C0DC227E-D2C4-4A27-B973-DCC8BDB24708}"/>
            </a:ext>
          </a:extLst>
        </xdr:cNvPr>
        <xdr:cNvSpPr/>
      </xdr:nvSpPr>
      <xdr:spPr>
        <a:xfrm>
          <a:off x="3794760" y="4572000"/>
          <a:ext cx="1260000" cy="288000"/>
        </a:xfrm>
        <a:prstGeom prst="roundRect">
          <a:avLst/>
        </a:prstGeom>
        <a:solidFill>
          <a:schemeClr val="accent1">
            <a:lumMod val="7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US" sz="700" b="1">
              <a:latin typeface="Arial" panose="020B0604020202020204" pitchFamily="34" charset="0"/>
              <a:cs typeface="Arial" panose="020B0604020202020204" pitchFamily="34" charset="0"/>
            </a:rPr>
            <a:t>Scenarios</a:t>
          </a:r>
          <a:endParaRPr lang="sk-SK" sz="700" b="1">
            <a:latin typeface="Arial" panose="020B0604020202020204" pitchFamily="34" charset="0"/>
            <a:cs typeface="Arial" panose="020B0604020202020204" pitchFamily="34" charset="0"/>
          </a:endParaRPr>
        </a:p>
      </xdr:txBody>
    </xdr:sp>
    <xdr:clientData/>
  </xdr:twoCellAnchor>
  <xdr:twoCellAnchor editAs="oneCell">
    <xdr:from>
      <xdr:col>5</xdr:col>
      <xdr:colOff>400050</xdr:colOff>
      <xdr:row>5</xdr:row>
      <xdr:rowOff>0</xdr:rowOff>
    </xdr:from>
    <xdr:to>
      <xdr:col>11</xdr:col>
      <xdr:colOff>47625</xdr:colOff>
      <xdr:row>17</xdr:row>
      <xdr:rowOff>47625</xdr:rowOff>
    </xdr:to>
    <xdr:pic>
      <xdr:nvPicPr>
        <xdr:cNvPr id="13" name="Obrázok 12">
          <a:extLst>
            <a:ext uri="{FF2B5EF4-FFF2-40B4-BE49-F238E27FC236}">
              <a16:creationId xmlns:a16="http://schemas.microsoft.com/office/drawing/2014/main" id="{6B7C9223-912B-4815-BBB2-20280B1F15C7}"/>
            </a:ext>
          </a:extLst>
        </xdr:cNvPr>
        <xdr:cNvPicPr>
          <a:picLocks noChangeAspect="1"/>
        </xdr:cNvPicPr>
      </xdr:nvPicPr>
      <xdr:blipFill>
        <a:blip xmlns:r="http://schemas.openxmlformats.org/officeDocument/2006/relationships" r:embed="rId7"/>
        <a:stretch>
          <a:fillRect/>
        </a:stretch>
      </xdr:blipFill>
      <xdr:spPr>
        <a:xfrm>
          <a:off x="3362325" y="981075"/>
          <a:ext cx="3305175" cy="25717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22860</xdr:colOff>
      <xdr:row>1</xdr:row>
      <xdr:rowOff>144780</xdr:rowOff>
    </xdr:from>
    <xdr:to>
      <xdr:col>11</xdr:col>
      <xdr:colOff>190500</xdr:colOff>
      <xdr:row>18</xdr:row>
      <xdr:rowOff>137160</xdr:rowOff>
    </xdr:to>
    <xdr:sp macro="" textlink="">
      <xdr:nvSpPr>
        <xdr:cNvPr id="2" name="BlokTextu 1">
          <a:extLst>
            <a:ext uri="{FF2B5EF4-FFF2-40B4-BE49-F238E27FC236}">
              <a16:creationId xmlns:a16="http://schemas.microsoft.com/office/drawing/2014/main" id="{82379EA6-3C09-4982-9EA1-0819504A8A8D}"/>
            </a:ext>
          </a:extLst>
        </xdr:cNvPr>
        <xdr:cNvSpPr txBox="1"/>
      </xdr:nvSpPr>
      <xdr:spPr>
        <a:xfrm>
          <a:off x="1242060" y="312420"/>
          <a:ext cx="5654040" cy="28422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1">
              <a:latin typeface="Arial" panose="020B0604020202020204" pitchFamily="34" charset="0"/>
              <a:cs typeface="Arial" panose="020B0604020202020204" pitchFamily="34" charset="0"/>
            </a:rPr>
            <a:t>Investícia</a:t>
          </a:r>
        </a:p>
        <a:p>
          <a:endParaRPr lang="sk-SK" sz="1000" b="1">
            <a:latin typeface="Arial" panose="020B0604020202020204" pitchFamily="34" charset="0"/>
            <a:cs typeface="Arial" panose="020B0604020202020204" pitchFamily="34" charset="0"/>
          </a:endParaRPr>
        </a:p>
        <a:p>
          <a:r>
            <a:rPr lang="sk-SK" sz="800" b="0">
              <a:latin typeface="Arial" panose="020B0604020202020204" pitchFamily="34" charset="0"/>
              <a:cs typeface="Arial" panose="020B0604020202020204" pitchFamily="34" charset="0"/>
            </a:rPr>
            <a:t>Výška</a:t>
          </a:r>
          <a:r>
            <a:rPr lang="sk-SK" sz="800" b="0" baseline="0">
              <a:latin typeface="Arial" panose="020B0604020202020204" pitchFamily="34" charset="0"/>
              <a:cs typeface="Arial" panose="020B0604020202020204" pitchFamily="34" charset="0"/>
            </a:rPr>
            <a:t> pomoci na investíciu od ŠFRB je podľa m2 €1200.</a:t>
          </a:r>
        </a:p>
        <a:p>
          <a:endParaRPr lang="sk-SK" sz="800" b="0" baseline="0">
            <a:latin typeface="Arial" panose="020B0604020202020204" pitchFamily="34" charset="0"/>
            <a:cs typeface="Arial" panose="020B0604020202020204" pitchFamily="34" charset="0"/>
          </a:endParaRPr>
        </a:p>
        <a:p>
          <a:r>
            <a:rPr lang="sk-SK" sz="800" b="0" baseline="0">
              <a:latin typeface="Arial" panose="020B0604020202020204" pitchFamily="34" charset="0"/>
              <a:cs typeface="Arial" panose="020B0604020202020204" pitchFamily="34" charset="0"/>
            </a:rPr>
            <a:t>Začiatok výstavby 5-6 mesiac 2022</a:t>
          </a:r>
        </a:p>
        <a:p>
          <a:r>
            <a:rPr lang="sk-SK" sz="800" b="0" baseline="0">
              <a:latin typeface="Arial" panose="020B0604020202020204" pitchFamily="34" charset="0"/>
              <a:cs typeface="Arial" panose="020B0604020202020204" pitchFamily="34" charset="0"/>
            </a:rPr>
            <a:t>Ukončenie výstavby 12/2023</a:t>
          </a:r>
        </a:p>
        <a:p>
          <a:endParaRPr lang="sk-SK" sz="800" b="0" baseline="0">
            <a:latin typeface="Arial" panose="020B0604020202020204" pitchFamily="34" charset="0"/>
            <a:cs typeface="Arial" panose="020B0604020202020204" pitchFamily="34" charset="0"/>
          </a:endParaRPr>
        </a:p>
        <a:p>
          <a:r>
            <a:rPr lang="sk-SK" sz="800" b="0" baseline="0">
              <a:latin typeface="Arial" panose="020B0604020202020204" pitchFamily="34" charset="0"/>
              <a:cs typeface="Arial" panose="020B0604020202020204" pitchFamily="34" charset="0"/>
            </a:rPr>
            <a:t>Spustenie nových lôžok od 01/2024</a:t>
          </a:r>
        </a:p>
        <a:p>
          <a:endParaRPr lang="sk-SK" sz="800" b="0" baseline="0">
            <a:latin typeface="Arial" panose="020B0604020202020204" pitchFamily="34" charset="0"/>
            <a:cs typeface="Arial" panose="020B0604020202020204" pitchFamily="34" charset="0"/>
          </a:endParaRPr>
        </a:p>
        <a:p>
          <a:r>
            <a:rPr lang="sk-SK" sz="800" b="0">
              <a:latin typeface="Arial" panose="020B0604020202020204" pitchFamily="34" charset="0"/>
              <a:cs typeface="Arial" panose="020B0604020202020204" pitchFamily="34" charset="0"/>
            </a:rPr>
            <a:t>Celková investícia 1 152</a:t>
          </a:r>
          <a:r>
            <a:rPr lang="sk-SK" sz="800" b="0" baseline="0">
              <a:latin typeface="Arial" panose="020B0604020202020204" pitchFamily="34" charset="0"/>
              <a:cs typeface="Arial" panose="020B0604020202020204" pitchFamily="34" charset="0"/>
            </a:rPr>
            <a:t> 000</a:t>
          </a:r>
        </a:p>
        <a:p>
          <a:endParaRPr lang="sk-SK" sz="800" b="0" baseline="0">
            <a:latin typeface="Arial" panose="020B0604020202020204" pitchFamily="34" charset="0"/>
            <a:cs typeface="Arial" panose="020B0604020202020204" pitchFamily="34" charset="0"/>
          </a:endParaRPr>
        </a:p>
        <a:p>
          <a:r>
            <a:rPr lang="sk-SK" sz="800" b="0" baseline="0">
              <a:latin typeface="Arial" panose="020B0604020202020204" pitchFamily="34" charset="0"/>
              <a:cs typeface="Arial" panose="020B0604020202020204" pitchFamily="34" charset="0"/>
            </a:rPr>
            <a:t>Aká je cena zariadenia nového?</a:t>
          </a:r>
          <a:endParaRPr lang="sk-SK" sz="800" b="0">
            <a:latin typeface="Arial" panose="020B0604020202020204" pitchFamily="34" charset="0"/>
            <a:cs typeface="Arial" panose="020B0604020202020204" pitchFamily="34" charset="0"/>
          </a:endParaRPr>
        </a:p>
      </xdr:txBody>
    </xdr:sp>
    <xdr:clientData/>
  </xdr:twoCellAnchor>
  <xdr:twoCellAnchor editAs="oneCell">
    <xdr:from>
      <xdr:col>11</xdr:col>
      <xdr:colOff>304800</xdr:colOff>
      <xdr:row>0</xdr:row>
      <xdr:rowOff>160020</xdr:rowOff>
    </xdr:from>
    <xdr:to>
      <xdr:col>19</xdr:col>
      <xdr:colOff>43185</xdr:colOff>
      <xdr:row>18</xdr:row>
      <xdr:rowOff>22860</xdr:rowOff>
    </xdr:to>
    <xdr:pic>
      <xdr:nvPicPr>
        <xdr:cNvPr id="3" name="Obrázok 2">
          <a:extLst>
            <a:ext uri="{FF2B5EF4-FFF2-40B4-BE49-F238E27FC236}">
              <a16:creationId xmlns:a16="http://schemas.microsoft.com/office/drawing/2014/main" id="{12B992A0-4724-4ACF-956B-A7F6EB4F88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010400" y="160020"/>
          <a:ext cx="4615185" cy="2880360"/>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188595</xdr:colOff>
      <xdr:row>11</xdr:row>
      <xdr:rowOff>64770</xdr:rowOff>
    </xdr:from>
    <xdr:to>
      <xdr:col>7</xdr:col>
      <xdr:colOff>0</xdr:colOff>
      <xdr:row>29</xdr:row>
      <xdr:rowOff>64770</xdr:rowOff>
    </xdr:to>
    <xdr:graphicFrame macro="">
      <xdr:nvGraphicFramePr>
        <xdr:cNvPr id="2" name="Graf 2">
          <a:extLst>
            <a:ext uri="{FF2B5EF4-FFF2-40B4-BE49-F238E27FC236}">
              <a16:creationId xmlns:a16="http://schemas.microsoft.com/office/drawing/2014/main" id="{61564218-905E-4D29-9E7E-D6833A8DFE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11</xdr:row>
      <xdr:rowOff>11430</xdr:rowOff>
    </xdr:from>
    <xdr:to>
      <xdr:col>14</xdr:col>
      <xdr:colOff>0</xdr:colOff>
      <xdr:row>29</xdr:row>
      <xdr:rowOff>11430</xdr:rowOff>
    </xdr:to>
    <xdr:graphicFrame macro="">
      <xdr:nvGraphicFramePr>
        <xdr:cNvPr id="3" name="Graf 3">
          <a:extLst>
            <a:ext uri="{FF2B5EF4-FFF2-40B4-BE49-F238E27FC236}">
              <a16:creationId xmlns:a16="http://schemas.microsoft.com/office/drawing/2014/main" id="{6A6F2ACB-D548-48F0-9D07-307A736574A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1051560</xdr:colOff>
      <xdr:row>16</xdr:row>
      <xdr:rowOff>11430</xdr:rowOff>
    </xdr:from>
    <xdr:to>
      <xdr:col>16</xdr:col>
      <xdr:colOff>386715</xdr:colOff>
      <xdr:row>39</xdr:row>
      <xdr:rowOff>123825</xdr:rowOff>
    </xdr:to>
    <xdr:graphicFrame macro="">
      <xdr:nvGraphicFramePr>
        <xdr:cNvPr id="2" name="Chart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15</xdr:col>
      <xdr:colOff>469367</xdr:colOff>
      <xdr:row>5</xdr:row>
      <xdr:rowOff>233002</xdr:rowOff>
    </xdr:from>
    <xdr:to>
      <xdr:col>23</xdr:col>
      <xdr:colOff>93275</xdr:colOff>
      <xdr:row>25</xdr:row>
      <xdr:rowOff>73052</xdr:rowOff>
    </xdr:to>
    <xdr:graphicFrame macro="">
      <xdr:nvGraphicFramePr>
        <xdr:cNvPr id="2" name="Chart1">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365760</xdr:colOff>
      <xdr:row>4</xdr:row>
      <xdr:rowOff>114301</xdr:rowOff>
    </xdr:from>
    <xdr:to>
      <xdr:col>11</xdr:col>
      <xdr:colOff>96129</xdr:colOff>
      <xdr:row>14</xdr:row>
      <xdr:rowOff>129541</xdr:rowOff>
    </xdr:to>
    <xdr:pic>
      <xdr:nvPicPr>
        <xdr:cNvPr id="2" name="Obrázok 1">
          <a:extLst>
            <a:ext uri="{FF2B5EF4-FFF2-40B4-BE49-F238E27FC236}">
              <a16:creationId xmlns:a16="http://schemas.microsoft.com/office/drawing/2014/main" id="{E747F35D-F4CE-EE14-8A17-6E17BF718516}"/>
            </a:ext>
          </a:extLst>
        </xdr:cNvPr>
        <xdr:cNvPicPr>
          <a:picLocks noChangeAspect="1"/>
        </xdr:cNvPicPr>
      </xdr:nvPicPr>
      <xdr:blipFill>
        <a:blip xmlns:r="http://schemas.openxmlformats.org/officeDocument/2006/relationships" r:embed="rId1"/>
        <a:stretch>
          <a:fillRect/>
        </a:stretch>
      </xdr:blipFill>
      <xdr:spPr>
        <a:xfrm>
          <a:off x="4625340" y="670561"/>
          <a:ext cx="5216769" cy="2712720"/>
        </a:xfrm>
        <a:prstGeom prst="rect">
          <a:avLst/>
        </a:prstGeom>
      </xdr:spPr>
    </xdr:pic>
    <xdr:clientData/>
  </xdr:twoCellAnchor>
  <xdr:twoCellAnchor editAs="oneCell">
    <xdr:from>
      <xdr:col>2</xdr:col>
      <xdr:colOff>586739</xdr:colOff>
      <xdr:row>15</xdr:row>
      <xdr:rowOff>38100</xdr:rowOff>
    </xdr:from>
    <xdr:to>
      <xdr:col>11</xdr:col>
      <xdr:colOff>234738</xdr:colOff>
      <xdr:row>31</xdr:row>
      <xdr:rowOff>7620</xdr:rowOff>
    </xdr:to>
    <xdr:pic>
      <xdr:nvPicPr>
        <xdr:cNvPr id="3" name="Obrázok 2">
          <a:extLst>
            <a:ext uri="{FF2B5EF4-FFF2-40B4-BE49-F238E27FC236}">
              <a16:creationId xmlns:a16="http://schemas.microsoft.com/office/drawing/2014/main" id="{F3E3E387-560D-A131-FB13-15C216B253D7}"/>
            </a:ext>
          </a:extLst>
        </xdr:cNvPr>
        <xdr:cNvPicPr>
          <a:picLocks noChangeAspect="1"/>
        </xdr:cNvPicPr>
      </xdr:nvPicPr>
      <xdr:blipFill>
        <a:blip xmlns:r="http://schemas.openxmlformats.org/officeDocument/2006/relationships" r:embed="rId2"/>
        <a:stretch>
          <a:fillRect/>
        </a:stretch>
      </xdr:blipFill>
      <xdr:spPr>
        <a:xfrm>
          <a:off x="4846319" y="3482340"/>
          <a:ext cx="5134399" cy="2407920"/>
        </a:xfrm>
        <a:prstGeom prst="rect">
          <a:avLst/>
        </a:prstGeom>
      </xdr:spPr>
    </xdr:pic>
    <xdr:clientData/>
  </xdr:twoCellAnchor>
  <xdr:twoCellAnchor>
    <xdr:from>
      <xdr:col>0</xdr:col>
      <xdr:colOff>236220</xdr:colOff>
      <xdr:row>12</xdr:row>
      <xdr:rowOff>175260</xdr:rowOff>
    </xdr:from>
    <xdr:to>
      <xdr:col>2</xdr:col>
      <xdr:colOff>480060</xdr:colOff>
      <xdr:row>26</xdr:row>
      <xdr:rowOff>38100</xdr:rowOff>
    </xdr:to>
    <xdr:sp macro="" textlink="">
      <xdr:nvSpPr>
        <xdr:cNvPr id="4" name="BlokTextu 3">
          <a:extLst>
            <a:ext uri="{FF2B5EF4-FFF2-40B4-BE49-F238E27FC236}">
              <a16:creationId xmlns:a16="http://schemas.microsoft.com/office/drawing/2014/main" id="{2FFE8BAE-5DA9-0B4F-667F-9FFC2EFBF5EA}"/>
            </a:ext>
          </a:extLst>
        </xdr:cNvPr>
        <xdr:cNvSpPr txBox="1"/>
      </xdr:nvSpPr>
      <xdr:spPr>
        <a:xfrm>
          <a:off x="236220" y="3048000"/>
          <a:ext cx="4503420" cy="22250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b="1" i="0">
              <a:solidFill>
                <a:schemeClr val="dk1"/>
              </a:solidFill>
              <a:effectLst/>
              <a:latin typeface="+mn-lt"/>
              <a:ea typeface="+mn-ea"/>
              <a:cs typeface="+mn-cs"/>
            </a:rPr>
            <a:t>Customer preferences: </a:t>
          </a:r>
          <a:r>
            <a:rPr lang="sk-SK" sz="1100" b="0" i="0">
              <a:solidFill>
                <a:schemeClr val="dk1"/>
              </a:solidFill>
              <a:effectLst/>
              <a:latin typeface="+mn-lt"/>
              <a:ea typeface="+mn-ea"/>
              <a:cs typeface="+mn-cs"/>
            </a:rPr>
            <a:t>One of the main reasons for the growth of the Online University Education market in Central &amp; Western Europe is the increasing demand for flexible and accessible education options. Many individuals in the region are looking for opportunities to further their education and enhance their skills, but traditional brick-and-mortar universities may not always be a feasible option due to time constraints, geographical limitations, or other personal commitments. Online university education provides a convenient and flexible alternative, allowing students to study at their own pace and from anywhere with an internet connection. This flexibility is particularly appealing to working professionals who want to continue their education while balancing their career and personal life.</a:t>
          </a:r>
          <a:endParaRPr lang="sk-SK" sz="1100"/>
        </a:p>
      </xdr:txBody>
    </xdr:sp>
    <xdr:clientData/>
  </xdr:twoCellAnchor>
  <xdr:twoCellAnchor>
    <xdr:from>
      <xdr:col>0</xdr:col>
      <xdr:colOff>198120</xdr:colOff>
      <xdr:row>27</xdr:row>
      <xdr:rowOff>68580</xdr:rowOff>
    </xdr:from>
    <xdr:to>
      <xdr:col>2</xdr:col>
      <xdr:colOff>441960</xdr:colOff>
      <xdr:row>49</xdr:row>
      <xdr:rowOff>68580</xdr:rowOff>
    </xdr:to>
    <xdr:sp macro="" textlink="">
      <xdr:nvSpPr>
        <xdr:cNvPr id="5" name="BlokTextu 4">
          <a:extLst>
            <a:ext uri="{FF2B5EF4-FFF2-40B4-BE49-F238E27FC236}">
              <a16:creationId xmlns:a16="http://schemas.microsoft.com/office/drawing/2014/main" id="{1851873C-8774-416A-BAF2-6541345EBE6A}"/>
            </a:ext>
          </a:extLst>
        </xdr:cNvPr>
        <xdr:cNvSpPr txBox="1"/>
      </xdr:nvSpPr>
      <xdr:spPr>
        <a:xfrm>
          <a:off x="198120" y="5433060"/>
          <a:ext cx="4503420" cy="28498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b="1" i="0">
              <a:solidFill>
                <a:schemeClr val="dk1"/>
              </a:solidFill>
              <a:effectLst/>
              <a:latin typeface="+mn-lt"/>
              <a:ea typeface="+mn-ea"/>
              <a:cs typeface="+mn-cs"/>
            </a:rPr>
            <a:t>Trends in the market: </a:t>
          </a:r>
          <a:r>
            <a:rPr lang="sk-SK" sz="1100" b="0" i="0">
              <a:solidFill>
                <a:schemeClr val="dk1"/>
              </a:solidFill>
              <a:effectLst/>
              <a:latin typeface="+mn-lt"/>
              <a:ea typeface="+mn-ea"/>
              <a:cs typeface="+mn-cs"/>
            </a:rPr>
            <a:t>One of the key trends in the Online University Education market in Central &amp; Western Europe is the increasing availability of online degree programs from reputable universities. In the past, online education was often associated with lower-quality or less prestigious institutions. However, this perception has been changing as more and more well-established universities in the region have started offering online degree programs. This trend has boosted the credibility and acceptance of online education, attracting a larger pool of students who are seeking recognized qualifications. Another trend in the market is the growing use of technology to enhance the online learning experience. Online universities are investing in advanced learning management systems, virtual classrooms, and interactive multimedia content to create engaging and interactive online courses. These technological advancements not only make the learning experience more enjoyable for students but also facilitate better communication and collaboration between students and instructors.</a:t>
          </a:r>
          <a:endParaRPr lang="sk-SK" sz="1100"/>
        </a:p>
      </xdr:txBody>
    </xdr:sp>
    <xdr:clientData/>
  </xdr:twoCellAnchor>
  <xdr:twoCellAnchor>
    <xdr:from>
      <xdr:col>3</xdr:col>
      <xdr:colOff>152400</xdr:colOff>
      <xdr:row>30</xdr:row>
      <xdr:rowOff>91440</xdr:rowOff>
    </xdr:from>
    <xdr:to>
      <xdr:col>10</xdr:col>
      <xdr:colOff>388620</xdr:colOff>
      <xdr:row>42</xdr:row>
      <xdr:rowOff>121920</xdr:rowOff>
    </xdr:to>
    <xdr:sp macro="" textlink="">
      <xdr:nvSpPr>
        <xdr:cNvPr id="6" name="BlokTextu 5">
          <a:extLst>
            <a:ext uri="{FF2B5EF4-FFF2-40B4-BE49-F238E27FC236}">
              <a16:creationId xmlns:a16="http://schemas.microsoft.com/office/drawing/2014/main" id="{664B74CB-A932-4D84-93B5-61030909468B}"/>
            </a:ext>
          </a:extLst>
        </xdr:cNvPr>
        <xdr:cNvSpPr txBox="1"/>
      </xdr:nvSpPr>
      <xdr:spPr>
        <a:xfrm>
          <a:off x="5021580" y="5844540"/>
          <a:ext cx="4503420" cy="1584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b="1" i="0">
              <a:solidFill>
                <a:schemeClr val="dk1"/>
              </a:solidFill>
              <a:effectLst/>
              <a:latin typeface="+mn-lt"/>
              <a:ea typeface="+mn-ea"/>
              <a:cs typeface="+mn-cs"/>
            </a:rPr>
            <a:t>Local special circumstances: </a:t>
          </a:r>
          <a:r>
            <a:rPr lang="sk-SK" sz="1100" b="0" i="0">
              <a:solidFill>
                <a:schemeClr val="dk1"/>
              </a:solidFill>
              <a:effectLst/>
              <a:latin typeface="+mn-lt"/>
              <a:ea typeface="+mn-ea"/>
              <a:cs typeface="+mn-cs"/>
            </a:rPr>
            <a:t>Central &amp; Western Europe is known for its diverse population and multilingualism. This presents a unique challenge for online universities operating in the region, as they need to cater to students who speak different languages. Many online universities in Central &amp; Western Europe have addressed this challenge by offering courses in multiple languages, allowing students to study in their native language. This localization strategy has helped to attract a wider range of students and create a more inclusive learning environment.</a:t>
          </a:r>
          <a:endParaRPr lang="sk-SK" sz="1100"/>
        </a:p>
      </xdr:txBody>
    </xdr:sp>
    <xdr:clientData/>
  </xdr:twoCellAnchor>
  <xdr:twoCellAnchor>
    <xdr:from>
      <xdr:col>3</xdr:col>
      <xdr:colOff>152400</xdr:colOff>
      <xdr:row>43</xdr:row>
      <xdr:rowOff>99060</xdr:rowOff>
    </xdr:from>
    <xdr:to>
      <xdr:col>14</xdr:col>
      <xdr:colOff>403860</xdr:colOff>
      <xdr:row>56</xdr:row>
      <xdr:rowOff>0</xdr:rowOff>
    </xdr:to>
    <xdr:sp macro="" textlink="">
      <xdr:nvSpPr>
        <xdr:cNvPr id="7" name="BlokTextu 6">
          <a:extLst>
            <a:ext uri="{FF2B5EF4-FFF2-40B4-BE49-F238E27FC236}">
              <a16:creationId xmlns:a16="http://schemas.microsoft.com/office/drawing/2014/main" id="{BFDB8997-CAA0-4A68-BFB1-E0945AB34AFA}"/>
            </a:ext>
          </a:extLst>
        </xdr:cNvPr>
        <xdr:cNvSpPr txBox="1"/>
      </xdr:nvSpPr>
      <xdr:spPr>
        <a:xfrm>
          <a:off x="5021580" y="7536180"/>
          <a:ext cx="6957060" cy="15849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b="1" i="0">
              <a:solidFill>
                <a:schemeClr val="dk1"/>
              </a:solidFill>
              <a:effectLst/>
              <a:latin typeface="+mn-lt"/>
              <a:ea typeface="+mn-ea"/>
              <a:cs typeface="+mn-cs"/>
            </a:rPr>
            <a:t>Underlying macroeconomic factors: </a:t>
          </a:r>
          <a:r>
            <a:rPr lang="sk-SK" sz="1100" b="0" i="0">
              <a:solidFill>
                <a:schemeClr val="dk1"/>
              </a:solidFill>
              <a:effectLst/>
              <a:latin typeface="+mn-lt"/>
              <a:ea typeface="+mn-ea"/>
              <a:cs typeface="+mn-cs"/>
            </a:rPr>
            <a:t>The growth of the Online University Education market in Central &amp; Western Europe can also be attributed to various macroeconomic factors. The region has a strong knowledge-based economy and is home to many innovative industries. As a result, there is a high demand for skilled professionals in sectors such as technology, engineering, and business. Online university education provides a convenient and efficient way for individuals to acquire the necessary skills and qualifications to succeed in these industries. Furthermore, the increasing globalization of the job market has created a need for individuals with international qualifications. Online university education offers students the opportunity to earn degrees from reputable institutions around the world, enhancing their employability and career prospects. This has made online education an attractive option for individuals who want to gain a competitive edge in the global job market. In conclusion, the Online University Education market in Central &amp; Western Europe is growing due to the increasing demand for flexible and accessible education options, the availability of online degree programs from reputable universities, the use of technology to enhance the learning experience, the need to cater to a diverse population with different language preferences, and the underlying macroeconomic factors such as the demand for skilled professionals and the globalization of the job market.</a:t>
          </a:r>
          <a:endParaRPr lang="sk-SK"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30480</xdr:colOff>
      <xdr:row>13</xdr:row>
      <xdr:rowOff>72390</xdr:rowOff>
    </xdr:from>
    <xdr:to>
      <xdr:col>9</xdr:col>
      <xdr:colOff>419100</xdr:colOff>
      <xdr:row>34</xdr:row>
      <xdr:rowOff>95250</xdr:rowOff>
    </xdr:to>
    <xdr:graphicFrame macro="">
      <xdr:nvGraphicFramePr>
        <xdr:cNvPr id="2" name="Graf 1">
          <a:extLst>
            <a:ext uri="{FF2B5EF4-FFF2-40B4-BE49-F238E27FC236}">
              <a16:creationId xmlns:a16="http://schemas.microsoft.com/office/drawing/2014/main" id="{873F1386-6FDF-2EF0-B69A-C0FA63AD039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350520</xdr:colOff>
      <xdr:row>13</xdr:row>
      <xdr:rowOff>38100</xdr:rowOff>
    </xdr:from>
    <xdr:to>
      <xdr:col>16</xdr:col>
      <xdr:colOff>373380</xdr:colOff>
      <xdr:row>34</xdr:row>
      <xdr:rowOff>60960</xdr:rowOff>
    </xdr:to>
    <xdr:graphicFrame macro="">
      <xdr:nvGraphicFramePr>
        <xdr:cNvPr id="3" name="Graf 2">
          <a:extLst>
            <a:ext uri="{FF2B5EF4-FFF2-40B4-BE49-F238E27FC236}">
              <a16:creationId xmlns:a16="http://schemas.microsoft.com/office/drawing/2014/main" id="{17558F31-B1E6-424E-84C3-CFBEC7F5BB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510540</xdr:colOff>
      <xdr:row>41</xdr:row>
      <xdr:rowOff>22860</xdr:rowOff>
    </xdr:from>
    <xdr:to>
      <xdr:col>6</xdr:col>
      <xdr:colOff>396240</xdr:colOff>
      <xdr:row>48</xdr:row>
      <xdr:rowOff>76200</xdr:rowOff>
    </xdr:to>
    <xdr:sp macro="" textlink="">
      <xdr:nvSpPr>
        <xdr:cNvPr id="4" name="BlokTextu 3">
          <a:extLst>
            <a:ext uri="{FF2B5EF4-FFF2-40B4-BE49-F238E27FC236}">
              <a16:creationId xmlns:a16="http://schemas.microsoft.com/office/drawing/2014/main" id="{D4B74885-D905-4088-B47C-1C2778F30BDE}"/>
            </a:ext>
          </a:extLst>
        </xdr:cNvPr>
        <xdr:cNvSpPr txBox="1"/>
      </xdr:nvSpPr>
      <xdr:spPr>
        <a:xfrm>
          <a:off x="510540" y="5372100"/>
          <a:ext cx="4503420" cy="9601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100" b="1" i="0">
              <a:solidFill>
                <a:schemeClr val="dk1"/>
              </a:solidFill>
              <a:effectLst/>
              <a:latin typeface="+mn-lt"/>
              <a:ea typeface="+mn-ea"/>
              <a:cs typeface="+mn-cs"/>
            </a:rPr>
            <a:t>Revenue</a:t>
          </a:r>
          <a:r>
            <a:rPr lang="sk-SK" sz="1100" b="1" i="0" baseline="0">
              <a:solidFill>
                <a:schemeClr val="dk1"/>
              </a:solidFill>
              <a:effectLst/>
              <a:latin typeface="+mn-lt"/>
              <a:ea typeface="+mn-ea"/>
              <a:cs typeface="+mn-cs"/>
            </a:rPr>
            <a:t> 2024 €13,5B </a:t>
          </a:r>
          <a:r>
            <a:rPr lang="sk-SK" sz="1100" b="0" i="0" baseline="0">
              <a:solidFill>
                <a:schemeClr val="dk1"/>
              </a:solidFill>
              <a:effectLst/>
              <a:latin typeface="+mn-lt"/>
              <a:ea typeface="+mn-ea"/>
              <a:cs typeface="+mn-cs"/>
            </a:rPr>
            <a:t>with 24-29 growth rte of 8,14%</a:t>
          </a:r>
        </a:p>
        <a:p>
          <a:r>
            <a:rPr lang="sk-SK" sz="1100" b="0" i="0" baseline="0">
              <a:solidFill>
                <a:schemeClr val="dk1"/>
              </a:solidFill>
              <a:effectLst/>
              <a:latin typeface="+mn-lt"/>
              <a:ea typeface="+mn-ea"/>
              <a:cs typeface="+mn-cs"/>
            </a:rPr>
            <a:t>Currently, the number of users is at about 5M with a forecast to grow to 8.9M by 2029.</a:t>
          </a:r>
        </a:p>
        <a:p>
          <a:r>
            <a:rPr lang="sk-SK" sz="1100" b="0" i="0" baseline="0">
              <a:solidFill>
                <a:schemeClr val="dk1"/>
              </a:solidFill>
              <a:effectLst/>
              <a:latin typeface="+mn-lt"/>
              <a:ea typeface="+mn-ea"/>
              <a:cs typeface="+mn-cs"/>
            </a:rPr>
            <a:t>Average cost per user €3,312/year</a:t>
          </a: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1051560</xdr:colOff>
      <xdr:row>16</xdr:row>
      <xdr:rowOff>11430</xdr:rowOff>
    </xdr:from>
    <xdr:to>
      <xdr:col>16</xdr:col>
      <xdr:colOff>386715</xdr:colOff>
      <xdr:row>39</xdr:row>
      <xdr:rowOff>123825</xdr:rowOff>
    </xdr:to>
    <xdr:graphicFrame macro="">
      <xdr:nvGraphicFramePr>
        <xdr:cNvPr id="2" name="Chart1">
          <a:extLst>
            <a:ext uri="{FF2B5EF4-FFF2-40B4-BE49-F238E27FC236}">
              <a16:creationId xmlns:a16="http://schemas.microsoft.com/office/drawing/2014/main" id="{ABCEF270-C22D-4EFE-AFD4-995F17BB81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CFI">
    <a:dk1>
      <a:sysClr val="windowText" lastClr="000000"/>
    </a:dk1>
    <a:lt1>
      <a:sysClr val="window" lastClr="FFFFFF"/>
    </a:lt1>
    <a:dk2>
      <a:srgbClr val="FA621C"/>
    </a:dk2>
    <a:lt2>
      <a:srgbClr val="132E57"/>
    </a:lt2>
    <a:accent1>
      <a:srgbClr val="E6E7E8"/>
    </a:accent1>
    <a:accent2>
      <a:srgbClr val="F57A16"/>
    </a:accent2>
    <a:accent3>
      <a:srgbClr val="1E8496"/>
    </a:accent3>
    <a:accent4>
      <a:srgbClr val="E6E7E8"/>
    </a:accent4>
    <a:accent5>
      <a:srgbClr val="ED942D"/>
    </a:accent5>
    <a:accent6>
      <a:srgbClr val="1E2A39"/>
    </a:accent6>
    <a:hlink>
      <a:srgbClr val="E6E7E8"/>
    </a:hlink>
    <a:folHlink>
      <a:srgbClr val="676767"/>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2.xml><?xml version="1.0" encoding="utf-8"?>
<a:themeOverride xmlns:a="http://schemas.openxmlformats.org/drawingml/2006/main">
  <a:clrScheme name="CFI">
    <a:dk1>
      <a:sysClr val="windowText" lastClr="000000"/>
    </a:dk1>
    <a:lt1>
      <a:sysClr val="window" lastClr="FFFFFF"/>
    </a:lt1>
    <a:dk2>
      <a:srgbClr val="FA621C"/>
    </a:dk2>
    <a:lt2>
      <a:srgbClr val="132E57"/>
    </a:lt2>
    <a:accent1>
      <a:srgbClr val="E6E7E8"/>
    </a:accent1>
    <a:accent2>
      <a:srgbClr val="F57A16"/>
    </a:accent2>
    <a:accent3>
      <a:srgbClr val="1E8496"/>
    </a:accent3>
    <a:accent4>
      <a:srgbClr val="E6E7E8"/>
    </a:accent4>
    <a:accent5>
      <a:srgbClr val="ED942D"/>
    </a:accent5>
    <a:accent6>
      <a:srgbClr val="1E2A39"/>
    </a:accent6>
    <a:hlink>
      <a:srgbClr val="E6E7E8"/>
    </a:hlink>
    <a:folHlink>
      <a:srgbClr val="676767"/>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CFI">
    <a:dk1>
      <a:sysClr val="windowText" lastClr="000000"/>
    </a:dk1>
    <a:lt1>
      <a:sysClr val="window" lastClr="FFFFFF"/>
    </a:lt1>
    <a:dk2>
      <a:srgbClr val="FA621C"/>
    </a:dk2>
    <a:lt2>
      <a:srgbClr val="132E57"/>
    </a:lt2>
    <a:accent1>
      <a:srgbClr val="E6E7E8"/>
    </a:accent1>
    <a:accent2>
      <a:srgbClr val="F57A16"/>
    </a:accent2>
    <a:accent3>
      <a:srgbClr val="1E8496"/>
    </a:accent3>
    <a:accent4>
      <a:srgbClr val="E6E7E8"/>
    </a:accent4>
    <a:accent5>
      <a:srgbClr val="ED942D"/>
    </a:accent5>
    <a:accent6>
      <a:srgbClr val="1E2A39"/>
    </a:accent6>
    <a:hlink>
      <a:srgbClr val="E6E7E8"/>
    </a:hlink>
    <a:folHlink>
      <a:srgbClr val="676767"/>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epi.sk/zz/2008-448" TargetMode="External"/><Relationship Id="rId2" Type="http://schemas.openxmlformats.org/officeDocument/2006/relationships/hyperlink" Target="https://www.employment.gov.sk/sk/rodina-socialna-pomoc/socialne-sluzby/poskytovanie-financnych-prispevkov/" TargetMode="External"/><Relationship Id="rId1" Type="http://schemas.openxmlformats.org/officeDocument/2006/relationships/hyperlink" Target="https://www.upsvr.gov.sk/sluzby-zamestnanosti/nastroje-aktivnych-opatreni-trhu-prace/prispevky-pre-zamestnavatela/prispevok-na-podporu-zamestnavania-znevyhodneneho-uchadzaca-o-zamestnanie-50.html?page_id=293050" TargetMode="External"/><Relationship Id="rId6" Type="http://schemas.openxmlformats.org/officeDocument/2006/relationships/comments" Target="../comments4.xml"/><Relationship Id="rId5" Type="http://schemas.openxmlformats.org/officeDocument/2006/relationships/vmlDrawing" Target="../drawings/vmlDrawing4.vml"/><Relationship Id="rId4"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hyperlink" Target="https://fr.statista.com/outlook/dmo/eservices/online-education/online-university-education/europe" TargetMode="External"/><Relationship Id="rId1" Type="http://schemas.openxmlformats.org/officeDocument/2006/relationships/hyperlink" Target="https://www.statista.com/outlook/emo/online-education/europe" TargetMode="External"/></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7.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hyperlink" Target="https://tradingeconomics.com/slovakia/inflation-cpi"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E2"/>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9</v>
      </c>
      <c r="B2">
        <v>2</v>
      </c>
      <c r="C2">
        <v>15</v>
      </c>
      <c r="D2">
        <v>11</v>
      </c>
      <c r="E2" t="s">
        <v>601</v>
      </c>
    </row>
  </sheetData>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6F33C-368A-4D2F-AE39-30369055A640}">
  <sheetPr>
    <tabColor rgb="FF00587A"/>
  </sheetPr>
  <dimension ref="A1:AO138"/>
  <sheetViews>
    <sheetView showGridLines="0" zoomScaleNormal="100" workbookViewId="0">
      <pane ySplit="2" topLeftCell="A18" activePane="bottomLeft" state="frozen"/>
      <selection activeCell="E5" sqref="E5"/>
      <selection pane="bottomLeft"/>
    </sheetView>
  </sheetViews>
  <sheetFormatPr defaultColWidth="0" defaultRowHeight="0" customHeight="1" zeroHeight="1" outlineLevelCol="1" x14ac:dyDescent="0.2"/>
  <cols>
    <col min="1" max="1" width="2.85546875" style="544" customWidth="1" outlineLevel="1"/>
    <col min="2" max="2" width="17.42578125" style="569" hidden="1" customWidth="1" outlineLevel="1"/>
    <col min="3" max="3" width="17.42578125" style="569" customWidth="1" outlineLevel="1"/>
    <col min="4" max="4" width="17.42578125" style="569" hidden="1" customWidth="1" outlineLevel="1"/>
    <col min="5" max="5" width="10.7109375" style="569" customWidth="1" outlineLevel="1"/>
    <col min="6" max="6" width="10.7109375" style="544" customWidth="1" outlineLevel="1"/>
    <col min="7" max="8" width="1.42578125" style="570" customWidth="1" outlineLevel="1"/>
    <col min="9" max="11" width="10" style="573" customWidth="1" outlineLevel="1"/>
    <col min="12" max="14" width="10" style="574" customWidth="1" outlineLevel="1"/>
    <col min="15" max="15" width="2.85546875" style="544" customWidth="1"/>
    <col min="16" max="16" width="10" style="544" hidden="1" customWidth="1"/>
    <col min="17" max="41" width="0" style="544" hidden="1" customWidth="1"/>
    <col min="42" max="16384" width="9.140625" style="544" hidden="1"/>
  </cols>
  <sheetData>
    <row r="1" spans="1:41" s="565" customFormat="1" ht="11.25" x14ac:dyDescent="0.2">
      <c r="A1" s="559"/>
      <c r="B1" s="560"/>
      <c r="C1" s="560"/>
      <c r="D1" s="560"/>
      <c r="E1" s="560"/>
      <c r="F1" s="561"/>
      <c r="G1" s="561"/>
      <c r="H1" s="562"/>
      <c r="I1" s="563"/>
      <c r="J1" s="563"/>
      <c r="K1" s="563"/>
      <c r="L1" s="563"/>
      <c r="M1" s="563"/>
      <c r="N1" s="563"/>
      <c r="O1" s="563"/>
      <c r="P1" s="563"/>
      <c r="Q1" s="563"/>
      <c r="R1" s="563"/>
      <c r="S1" s="563"/>
      <c r="T1" s="563"/>
      <c r="U1" s="563"/>
      <c r="V1" s="563"/>
      <c r="W1" s="563"/>
      <c r="X1" s="563"/>
      <c r="Y1" s="563"/>
      <c r="Z1" s="563"/>
      <c r="AA1" s="563"/>
      <c r="AB1" s="563"/>
      <c r="AC1" s="563"/>
      <c r="AD1" s="564"/>
      <c r="AE1" s="564"/>
      <c r="AF1" s="564"/>
      <c r="AG1" s="564"/>
      <c r="AH1" s="564"/>
      <c r="AI1" s="564"/>
      <c r="AJ1" s="564"/>
      <c r="AK1" s="564"/>
      <c r="AL1" s="564"/>
      <c r="AM1" s="564"/>
      <c r="AN1" s="564"/>
      <c r="AO1" s="564"/>
    </row>
    <row r="2" spans="1:41" ht="21" customHeight="1" x14ac:dyDescent="0.2">
      <c r="A2" s="539"/>
      <c r="B2" s="545" t="s">
        <v>898</v>
      </c>
      <c r="C2" s="545" t="s">
        <v>1439</v>
      </c>
      <c r="D2" s="545" t="s">
        <v>1439</v>
      </c>
      <c r="E2" s="545"/>
      <c r="F2" s="545"/>
      <c r="G2" s="566"/>
      <c r="H2" s="567"/>
      <c r="I2" s="568"/>
      <c r="J2" s="568">
        <f>'Predpoklady_SFR DSS'!D14</f>
        <v>2030</v>
      </c>
      <c r="K2" s="568">
        <f t="shared" ref="K2:N2" si="0">J2+1</f>
        <v>2031</v>
      </c>
      <c r="L2" s="568">
        <f t="shared" si="0"/>
        <v>2032</v>
      </c>
      <c r="M2" s="568">
        <f t="shared" si="0"/>
        <v>2033</v>
      </c>
      <c r="N2" s="568">
        <f t="shared" si="0"/>
        <v>2034</v>
      </c>
      <c r="O2" s="542"/>
      <c r="P2" s="542"/>
      <c r="Q2" s="542"/>
      <c r="R2" s="542"/>
      <c r="S2" s="542"/>
      <c r="T2" s="542"/>
      <c r="U2" s="542"/>
      <c r="V2" s="542"/>
      <c r="W2" s="542"/>
      <c r="X2" s="542"/>
      <c r="Y2" s="542"/>
      <c r="Z2" s="542"/>
      <c r="AA2" s="542"/>
      <c r="AB2" s="542"/>
      <c r="AC2" s="542"/>
    </row>
    <row r="3" spans="1:41" ht="11.25" x14ac:dyDescent="0.2">
      <c r="I3" s="571"/>
      <c r="J3" s="571"/>
      <c r="K3" s="571"/>
      <c r="L3" s="572"/>
      <c r="M3" s="572"/>
      <c r="N3" s="572"/>
    </row>
    <row r="4" spans="1:41" ht="11.25" x14ac:dyDescent="0.2">
      <c r="B4" s="980" t="s">
        <v>1050</v>
      </c>
      <c r="C4" s="980" t="s">
        <v>1432</v>
      </c>
      <c r="D4" s="980" t="s">
        <v>1432</v>
      </c>
      <c r="E4" s="979" t="str">
        <f>Projections!K4</f>
        <v>Realistický</v>
      </c>
      <c r="F4" s="981">
        <f>IF(E4="Realistický",1,2)</f>
        <v>1</v>
      </c>
    </row>
    <row r="5" spans="1:41" ht="19.5" customHeight="1" x14ac:dyDescent="0.2">
      <c r="B5" s="575" t="s">
        <v>1295</v>
      </c>
      <c r="C5" s="576" t="s">
        <v>1606</v>
      </c>
      <c r="D5" s="576" t="str">
        <f>CONCATENATE("Scenarios: ",Title!C17)</f>
        <v xml:space="preserve">Scenarios: </v>
      </c>
      <c r="E5" s="576"/>
      <c r="F5" s="577"/>
      <c r="G5" s="577"/>
      <c r="H5" s="578"/>
      <c r="I5" s="579"/>
      <c r="J5" s="579"/>
      <c r="K5" s="579"/>
      <c r="L5" s="579"/>
      <c r="M5" s="580"/>
      <c r="N5" s="1001"/>
    </row>
    <row r="6" spans="1:41" ht="11.25" x14ac:dyDescent="0.2">
      <c r="B6" s="1193" t="s">
        <v>45</v>
      </c>
      <c r="C6" s="1193"/>
      <c r="D6" s="1193"/>
      <c r="E6" s="1194"/>
      <c r="F6" s="1034"/>
      <c r="G6" s="1195"/>
      <c r="H6" s="1195"/>
      <c r="I6" s="1196"/>
      <c r="J6" s="1196"/>
      <c r="K6" s="1196"/>
      <c r="L6" s="1196"/>
      <c r="M6" s="1196"/>
      <c r="N6" s="1197"/>
    </row>
    <row r="7" spans="1:41" ht="11.25" x14ac:dyDescent="0.2">
      <c r="B7" s="612" t="s">
        <v>1185</v>
      </c>
      <c r="C7" s="612" t="s">
        <v>1607</v>
      </c>
      <c r="D7" s="612" t="s">
        <v>1433</v>
      </c>
      <c r="E7" s="589"/>
      <c r="F7" s="589"/>
      <c r="G7" s="590"/>
      <c r="H7" s="591"/>
      <c r="I7" s="592"/>
      <c r="J7" s="1225">
        <f>CHOOSE($F$4,J8,J9)</f>
        <v>150</v>
      </c>
      <c r="K7" s="1225">
        <f t="shared" ref="K7:N7" si="1">CHOOSE($F$4,K8,K9)</f>
        <v>195</v>
      </c>
      <c r="L7" s="1226">
        <f t="shared" si="1"/>
        <v>253.5</v>
      </c>
      <c r="M7" s="1226">
        <f t="shared" si="1"/>
        <v>304.2</v>
      </c>
      <c r="N7" s="1227">
        <f t="shared" si="1"/>
        <v>365.03999999999996</v>
      </c>
    </row>
    <row r="8" spans="1:41" ht="11.25" x14ac:dyDescent="0.2">
      <c r="B8" s="593" t="s">
        <v>899</v>
      </c>
      <c r="C8" s="1647" t="s">
        <v>1578</v>
      </c>
      <c r="D8" s="1519" t="s">
        <v>1434</v>
      </c>
      <c r="E8" s="589"/>
      <c r="F8" s="589"/>
      <c r="G8" s="595"/>
      <c r="H8" s="643"/>
      <c r="I8" s="596"/>
      <c r="J8" s="1228">
        <v>150</v>
      </c>
      <c r="K8" s="1228">
        <f t="shared" ref="K8:N9" si="2">J8*(1+K12)</f>
        <v>195</v>
      </c>
      <c r="L8" s="1228">
        <f t="shared" si="2"/>
        <v>253.5</v>
      </c>
      <c r="M8" s="1228">
        <f t="shared" si="2"/>
        <v>304.2</v>
      </c>
      <c r="N8" s="1518">
        <f t="shared" si="2"/>
        <v>365.03999999999996</v>
      </c>
    </row>
    <row r="9" spans="1:41" ht="11.25" x14ac:dyDescent="0.2">
      <c r="B9" s="593" t="s">
        <v>900</v>
      </c>
      <c r="C9" s="1647" t="s">
        <v>1579</v>
      </c>
      <c r="D9" s="1519" t="s">
        <v>1435</v>
      </c>
      <c r="E9" s="599"/>
      <c r="F9" s="600"/>
      <c r="G9" s="601"/>
      <c r="H9" s="842"/>
      <c r="I9" s="602"/>
      <c r="J9" s="1228">
        <v>100</v>
      </c>
      <c r="K9" s="1228">
        <f t="shared" si="2"/>
        <v>120</v>
      </c>
      <c r="L9" s="1228">
        <f t="shared" si="2"/>
        <v>144</v>
      </c>
      <c r="M9" s="1228">
        <f t="shared" si="2"/>
        <v>165.6</v>
      </c>
      <c r="N9" s="1518">
        <f t="shared" si="2"/>
        <v>190.43999999999997</v>
      </c>
    </row>
    <row r="10" spans="1:41" ht="11.25" x14ac:dyDescent="0.2">
      <c r="B10" s="598"/>
      <c r="C10" s="598"/>
      <c r="D10" s="598"/>
      <c r="E10" s="600"/>
      <c r="F10" s="627"/>
      <c r="G10" s="628"/>
      <c r="H10" s="628"/>
      <c r="I10" s="574"/>
      <c r="J10" s="574"/>
      <c r="K10" s="574"/>
      <c r="N10" s="1200"/>
    </row>
    <row r="11" spans="1:41" ht="11.25" x14ac:dyDescent="0.2">
      <c r="B11" s="588"/>
      <c r="C11" s="588" t="s">
        <v>1608</v>
      </c>
      <c r="D11" s="588" t="s">
        <v>1436</v>
      </c>
      <c r="E11" s="589"/>
      <c r="F11" s="589"/>
      <c r="G11" s="590"/>
      <c r="H11" s="591"/>
      <c r="I11" s="592"/>
      <c r="J11" s="1514">
        <f>CHOOSE($F$4,J12,J13)</f>
        <v>0</v>
      </c>
      <c r="K11" s="1514">
        <f t="shared" ref="K11:N11" si="3">CHOOSE($F$4,K12,K13)</f>
        <v>0.3</v>
      </c>
      <c r="L11" s="1515">
        <f t="shared" si="3"/>
        <v>0.3</v>
      </c>
      <c r="M11" s="1515">
        <f t="shared" si="3"/>
        <v>0.2</v>
      </c>
      <c r="N11" s="1516">
        <f t="shared" si="3"/>
        <v>0.2</v>
      </c>
    </row>
    <row r="12" spans="1:41" ht="11.25" x14ac:dyDescent="0.2">
      <c r="B12" s="593" t="s">
        <v>899</v>
      </c>
      <c r="C12" s="1647" t="s">
        <v>1578</v>
      </c>
      <c r="D12" s="1519" t="s">
        <v>1434</v>
      </c>
      <c r="E12" s="589"/>
      <c r="F12" s="589"/>
      <c r="G12" s="595"/>
      <c r="H12" s="643"/>
      <c r="I12" s="596"/>
      <c r="J12" s="855">
        <v>0</v>
      </c>
      <c r="K12" s="855">
        <v>0.3</v>
      </c>
      <c r="L12" s="855">
        <v>0.3</v>
      </c>
      <c r="M12" s="855">
        <v>0.2</v>
      </c>
      <c r="N12" s="1198">
        <v>0.2</v>
      </c>
    </row>
    <row r="13" spans="1:41" ht="11.25" x14ac:dyDescent="0.2">
      <c r="B13" s="593" t="s">
        <v>900</v>
      </c>
      <c r="C13" s="1647" t="s">
        <v>1579</v>
      </c>
      <c r="D13" s="1519" t="s">
        <v>1435</v>
      </c>
      <c r="E13" s="599"/>
      <c r="F13" s="600"/>
      <c r="G13" s="601"/>
      <c r="H13" s="842"/>
      <c r="I13" s="602"/>
      <c r="J13" s="856">
        <v>0</v>
      </c>
      <c r="K13" s="856">
        <v>0.2</v>
      </c>
      <c r="L13" s="856">
        <v>0.2</v>
      </c>
      <c r="M13" s="856">
        <v>0.15</v>
      </c>
      <c r="N13" s="1199">
        <v>0.15</v>
      </c>
    </row>
    <row r="14" spans="1:41" ht="11.25" x14ac:dyDescent="0.2">
      <c r="B14" s="593"/>
      <c r="C14" s="593"/>
      <c r="D14" s="593"/>
      <c r="E14" s="599"/>
      <c r="F14" s="600"/>
      <c r="G14" s="601"/>
      <c r="H14" s="842"/>
      <c r="I14" s="602"/>
      <c r="J14" s="856"/>
      <c r="K14" s="856"/>
      <c r="L14" s="856"/>
      <c r="M14" s="856"/>
      <c r="N14" s="1199"/>
    </row>
    <row r="15" spans="1:41" ht="11.25" x14ac:dyDescent="0.2">
      <c r="B15" s="593"/>
      <c r="C15" s="588" t="s">
        <v>1609</v>
      </c>
      <c r="D15" s="588" t="s">
        <v>1334</v>
      </c>
      <c r="E15" s="599"/>
      <c r="F15" s="600"/>
      <c r="G15" s="601"/>
      <c r="H15" s="842"/>
      <c r="I15" s="602"/>
      <c r="J15" s="856"/>
      <c r="K15" s="856"/>
      <c r="L15" s="856"/>
      <c r="M15" s="856"/>
      <c r="N15" s="1199"/>
    </row>
    <row r="16" spans="1:41" ht="11.25" x14ac:dyDescent="0.2">
      <c r="B16" s="593"/>
      <c r="C16" s="1626" t="s">
        <v>1610</v>
      </c>
      <c r="D16" s="674" t="s">
        <v>1335</v>
      </c>
      <c r="E16" s="599"/>
      <c r="F16" s="600"/>
      <c r="G16" s="601"/>
      <c r="H16" s="842"/>
      <c r="I16" s="602"/>
      <c r="J16" s="1514">
        <f>CHOOSE($F$4,J17,J18)</f>
        <v>0.6</v>
      </c>
      <c r="K16" s="1514">
        <f t="shared" ref="K16:N16" si="4">CHOOSE($F$4,K17,K18)</f>
        <v>0.6</v>
      </c>
      <c r="L16" s="1515">
        <f t="shared" si="4"/>
        <v>0.6</v>
      </c>
      <c r="M16" s="1515">
        <f t="shared" si="4"/>
        <v>0.6</v>
      </c>
      <c r="N16" s="1516">
        <f t="shared" si="4"/>
        <v>0.6</v>
      </c>
    </row>
    <row r="17" spans="2:14" ht="11.25" x14ac:dyDescent="0.2">
      <c r="B17" s="593"/>
      <c r="C17" s="1647" t="s">
        <v>1578</v>
      </c>
      <c r="D17" s="1519" t="s">
        <v>1434</v>
      </c>
      <c r="E17" s="599"/>
      <c r="F17" s="600"/>
      <c r="G17" s="601"/>
      <c r="H17" s="842"/>
      <c r="I17" s="602"/>
      <c r="J17" s="855">
        <v>0.6</v>
      </c>
      <c r="K17" s="855">
        <v>0.6</v>
      </c>
      <c r="L17" s="855">
        <v>0.6</v>
      </c>
      <c r="M17" s="855">
        <v>0.6</v>
      </c>
      <c r="N17" s="1198">
        <v>0.6</v>
      </c>
    </row>
    <row r="18" spans="2:14" ht="11.25" x14ac:dyDescent="0.2">
      <c r="B18" s="593"/>
      <c r="C18" s="1647" t="s">
        <v>1579</v>
      </c>
      <c r="D18" s="1519" t="s">
        <v>1435</v>
      </c>
      <c r="E18" s="599"/>
      <c r="F18" s="600"/>
      <c r="G18" s="601"/>
      <c r="H18" s="842"/>
      <c r="I18" s="602"/>
      <c r="J18" s="855">
        <v>0.6</v>
      </c>
      <c r="K18" s="855">
        <v>0.6</v>
      </c>
      <c r="L18" s="855">
        <v>0.6</v>
      </c>
      <c r="M18" s="855">
        <v>0.6</v>
      </c>
      <c r="N18" s="1198">
        <v>0.6</v>
      </c>
    </row>
    <row r="19" spans="2:14" ht="11.25" x14ac:dyDescent="0.2">
      <c r="B19" s="593"/>
      <c r="C19" s="1616"/>
      <c r="D19" s="593"/>
      <c r="E19" s="599"/>
      <c r="F19" s="600"/>
      <c r="G19" s="601"/>
      <c r="H19" s="842"/>
      <c r="I19" s="602"/>
      <c r="J19" s="856"/>
      <c r="K19" s="856"/>
      <c r="L19" s="856"/>
      <c r="M19" s="856"/>
      <c r="N19" s="1199"/>
    </row>
    <row r="20" spans="2:14" ht="11.25" x14ac:dyDescent="0.2">
      <c r="B20" s="593"/>
      <c r="C20" s="1626" t="s">
        <v>1611</v>
      </c>
      <c r="D20" s="674" t="s">
        <v>1336</v>
      </c>
      <c r="E20" s="599"/>
      <c r="F20" s="600"/>
      <c r="G20" s="601"/>
      <c r="H20" s="842"/>
      <c r="I20" s="602"/>
      <c r="J20" s="1514">
        <f>CHOOSE($F$4,J21,J22)</f>
        <v>0.1</v>
      </c>
      <c r="K20" s="1514">
        <f t="shared" ref="K20:N20" si="5">CHOOSE($F$4,K21,K22)</f>
        <v>0.1</v>
      </c>
      <c r="L20" s="1515">
        <f t="shared" si="5"/>
        <v>0.1</v>
      </c>
      <c r="M20" s="1515">
        <f t="shared" si="5"/>
        <v>0.1</v>
      </c>
      <c r="N20" s="1516">
        <f t="shared" si="5"/>
        <v>0.1</v>
      </c>
    </row>
    <row r="21" spans="2:14" ht="11.25" x14ac:dyDescent="0.2">
      <c r="B21" s="593"/>
      <c r="C21" s="1647" t="s">
        <v>1578</v>
      </c>
      <c r="D21" s="1519" t="s">
        <v>1434</v>
      </c>
      <c r="E21" s="599"/>
      <c r="F21" s="600"/>
      <c r="G21" s="601"/>
      <c r="H21" s="842"/>
      <c r="I21" s="602"/>
      <c r="J21" s="855">
        <v>0.1</v>
      </c>
      <c r="K21" s="855">
        <v>0.1</v>
      </c>
      <c r="L21" s="855">
        <v>0.1</v>
      </c>
      <c r="M21" s="855">
        <v>0.1</v>
      </c>
      <c r="N21" s="1198">
        <v>0.1</v>
      </c>
    </row>
    <row r="22" spans="2:14" ht="11.25" x14ac:dyDescent="0.2">
      <c r="B22" s="593"/>
      <c r="C22" s="1647" t="s">
        <v>1579</v>
      </c>
      <c r="D22" s="1519" t="s">
        <v>1435</v>
      </c>
      <c r="E22" s="599"/>
      <c r="F22" s="600"/>
      <c r="G22" s="601"/>
      <c r="H22" s="842"/>
      <c r="I22" s="602"/>
      <c r="J22" s="855">
        <v>0.1</v>
      </c>
      <c r="K22" s="855">
        <v>0.1</v>
      </c>
      <c r="L22" s="855">
        <v>0.1</v>
      </c>
      <c r="M22" s="855">
        <v>0.1</v>
      </c>
      <c r="N22" s="1198">
        <v>0.1</v>
      </c>
    </row>
    <row r="23" spans="2:14" ht="11.25" x14ac:dyDescent="0.2">
      <c r="B23" s="593"/>
      <c r="C23" s="593"/>
      <c r="D23" s="593"/>
      <c r="E23" s="599"/>
      <c r="F23" s="600"/>
      <c r="G23" s="601"/>
      <c r="H23" s="842"/>
      <c r="I23" s="602"/>
      <c r="J23" s="856"/>
      <c r="K23" s="856"/>
      <c r="L23" s="856"/>
      <c r="M23" s="856"/>
      <c r="N23" s="1642"/>
    </row>
    <row r="24" spans="2:14" ht="11.25" x14ac:dyDescent="0.2">
      <c r="B24" s="593"/>
      <c r="C24" s="1626" t="s">
        <v>1612</v>
      </c>
      <c r="D24" s="674" t="s">
        <v>1437</v>
      </c>
      <c r="E24" s="599"/>
      <c r="F24" s="600"/>
      <c r="G24" s="601"/>
      <c r="H24" s="842"/>
      <c r="I24" s="602"/>
      <c r="J24" s="1514">
        <f>CHOOSE($F$4,J25,J26)</f>
        <v>0.15</v>
      </c>
      <c r="K24" s="1514">
        <f t="shared" ref="K24:N24" si="6">CHOOSE($F$4,K25,K26)</f>
        <v>0.15</v>
      </c>
      <c r="L24" s="1515">
        <f t="shared" si="6"/>
        <v>0.15</v>
      </c>
      <c r="M24" s="1515">
        <f t="shared" si="6"/>
        <v>0.15</v>
      </c>
      <c r="N24" s="1516">
        <f t="shared" si="6"/>
        <v>0.15</v>
      </c>
    </row>
    <row r="25" spans="2:14" ht="11.25" x14ac:dyDescent="0.2">
      <c r="B25" s="593"/>
      <c r="C25" s="1647" t="s">
        <v>1578</v>
      </c>
      <c r="D25" s="1519" t="s">
        <v>1434</v>
      </c>
      <c r="E25" s="599"/>
      <c r="F25" s="600"/>
      <c r="G25" s="601"/>
      <c r="H25" s="842"/>
      <c r="I25" s="602"/>
      <c r="J25" s="855">
        <v>0.15</v>
      </c>
      <c r="K25" s="855">
        <v>0.15</v>
      </c>
      <c r="L25" s="855">
        <v>0.15</v>
      </c>
      <c r="M25" s="855">
        <v>0.15</v>
      </c>
      <c r="N25" s="1198">
        <v>0.15</v>
      </c>
    </row>
    <row r="26" spans="2:14" ht="11.25" x14ac:dyDescent="0.2">
      <c r="B26" s="593"/>
      <c r="C26" s="1647" t="s">
        <v>1579</v>
      </c>
      <c r="D26" s="1519" t="s">
        <v>1435</v>
      </c>
      <c r="E26" s="599"/>
      <c r="F26" s="600"/>
      <c r="G26" s="601"/>
      <c r="H26" s="842"/>
      <c r="I26" s="602"/>
      <c r="J26" s="855">
        <v>0.15</v>
      </c>
      <c r="K26" s="855">
        <v>0.15</v>
      </c>
      <c r="L26" s="855">
        <v>0.15</v>
      </c>
      <c r="M26" s="855">
        <v>0.15</v>
      </c>
      <c r="N26" s="1198">
        <v>0.15</v>
      </c>
    </row>
    <row r="27" spans="2:14" ht="11.25" x14ac:dyDescent="0.2">
      <c r="B27" s="593"/>
      <c r="C27" s="593"/>
      <c r="D27" s="598"/>
      <c r="E27" s="599"/>
      <c r="F27" s="600"/>
      <c r="G27" s="601"/>
      <c r="H27" s="842"/>
      <c r="I27" s="602"/>
      <c r="J27" s="856"/>
      <c r="K27" s="856"/>
      <c r="L27" s="856"/>
      <c r="M27" s="856"/>
      <c r="N27" s="1199"/>
    </row>
    <row r="28" spans="2:14" ht="11.25" x14ac:dyDescent="0.2">
      <c r="B28" s="593"/>
      <c r="C28" s="1626" t="s">
        <v>1613</v>
      </c>
      <c r="D28" s="674" t="s">
        <v>1346</v>
      </c>
      <c r="E28" s="599"/>
      <c r="F28" s="600"/>
      <c r="G28" s="601"/>
      <c r="H28" s="842"/>
      <c r="I28" s="602"/>
      <c r="J28" s="1514">
        <f>CHOOSE($F$4,J29,J30)</f>
        <v>0.15</v>
      </c>
      <c r="K28" s="1514">
        <f t="shared" ref="K28:N28" si="7">CHOOSE($F$4,K29,K30)</f>
        <v>0.15</v>
      </c>
      <c r="L28" s="1515">
        <f t="shared" si="7"/>
        <v>0.15</v>
      </c>
      <c r="M28" s="1515">
        <f t="shared" si="7"/>
        <v>0.15</v>
      </c>
      <c r="N28" s="1516">
        <f t="shared" si="7"/>
        <v>0.15</v>
      </c>
    </row>
    <row r="29" spans="2:14" ht="11.25" x14ac:dyDescent="0.2">
      <c r="B29" s="593"/>
      <c r="C29" s="1647" t="s">
        <v>1578</v>
      </c>
      <c r="D29" s="1519" t="s">
        <v>1434</v>
      </c>
      <c r="E29" s="599"/>
      <c r="F29" s="600"/>
      <c r="G29" s="601"/>
      <c r="H29" s="842"/>
      <c r="I29" s="602"/>
      <c r="J29" s="855">
        <v>0.15</v>
      </c>
      <c r="K29" s="855">
        <v>0.15</v>
      </c>
      <c r="L29" s="855">
        <v>0.15</v>
      </c>
      <c r="M29" s="855">
        <v>0.15</v>
      </c>
      <c r="N29" s="1198">
        <v>0.15</v>
      </c>
    </row>
    <row r="30" spans="2:14" ht="11.25" x14ac:dyDescent="0.2">
      <c r="B30" s="593"/>
      <c r="C30" s="1647" t="s">
        <v>1579</v>
      </c>
      <c r="D30" s="1519" t="s">
        <v>1435</v>
      </c>
      <c r="E30" s="599"/>
      <c r="F30" s="600"/>
      <c r="G30" s="601"/>
      <c r="H30" s="842"/>
      <c r="I30" s="602"/>
      <c r="J30" s="855">
        <v>0.15</v>
      </c>
      <c r="K30" s="855">
        <v>0.15</v>
      </c>
      <c r="L30" s="855">
        <v>0.15</v>
      </c>
      <c r="M30" s="855">
        <v>0.15</v>
      </c>
      <c r="N30" s="1198">
        <v>0.15</v>
      </c>
    </row>
    <row r="31" spans="2:14" ht="11.25" x14ac:dyDescent="0.2">
      <c r="B31" s="593"/>
      <c r="C31" s="593"/>
      <c r="D31" s="593"/>
      <c r="E31" s="599"/>
      <c r="F31" s="600"/>
      <c r="G31" s="601"/>
      <c r="H31" s="842"/>
      <c r="I31" s="602"/>
      <c r="J31" s="856"/>
      <c r="K31" s="856"/>
      <c r="L31" s="856"/>
      <c r="M31" s="856"/>
      <c r="N31" s="1199"/>
    </row>
    <row r="32" spans="2:14" ht="11.25" x14ac:dyDescent="0.2">
      <c r="B32" s="593"/>
      <c r="C32" s="588" t="s">
        <v>1438</v>
      </c>
      <c r="D32" s="588" t="s">
        <v>1438</v>
      </c>
      <c r="E32" s="599"/>
      <c r="F32" s="600"/>
      <c r="G32" s="601"/>
      <c r="H32" s="842"/>
      <c r="I32" s="602"/>
      <c r="J32" s="856"/>
      <c r="K32" s="856"/>
      <c r="L32" s="856"/>
      <c r="M32" s="856"/>
      <c r="N32" s="1642"/>
    </row>
    <row r="33" spans="2:14" ht="11.25" x14ac:dyDescent="0.2">
      <c r="B33" s="593"/>
      <c r="C33" s="1626" t="s">
        <v>1614</v>
      </c>
      <c r="D33" s="674" t="s">
        <v>1335</v>
      </c>
      <c r="E33" s="599"/>
      <c r="F33" s="600"/>
      <c r="G33" s="601"/>
      <c r="H33" s="842"/>
      <c r="I33" s="602"/>
      <c r="J33" s="1225">
        <f>CHOOSE($F$4,J34,J35)</f>
        <v>7500</v>
      </c>
      <c r="K33" s="1225">
        <f t="shared" ref="K33:N33" si="8">CHOOSE($F$4,K34,K35)</f>
        <v>7500</v>
      </c>
      <c r="L33" s="1226">
        <f t="shared" si="8"/>
        <v>7500</v>
      </c>
      <c r="M33" s="1226">
        <f t="shared" si="8"/>
        <v>7500</v>
      </c>
      <c r="N33" s="1227">
        <f t="shared" si="8"/>
        <v>7500</v>
      </c>
    </row>
    <row r="34" spans="2:14" ht="11.25" x14ac:dyDescent="0.2">
      <c r="B34" s="593"/>
      <c r="C34" s="1647" t="s">
        <v>1578</v>
      </c>
      <c r="D34" s="1519" t="s">
        <v>1434</v>
      </c>
      <c r="E34" s="599"/>
      <c r="F34" s="600"/>
      <c r="G34" s="601"/>
      <c r="H34" s="842"/>
      <c r="I34" s="602"/>
      <c r="J34" s="1228">
        <v>7500</v>
      </c>
      <c r="K34" s="1228">
        <v>7500</v>
      </c>
      <c r="L34" s="1228">
        <v>7500</v>
      </c>
      <c r="M34" s="1228">
        <v>7500</v>
      </c>
      <c r="N34" s="1518">
        <v>7500</v>
      </c>
    </row>
    <row r="35" spans="2:14" ht="11.25" x14ac:dyDescent="0.2">
      <c r="B35" s="593"/>
      <c r="C35" s="1647" t="s">
        <v>1579</v>
      </c>
      <c r="D35" s="1519" t="s">
        <v>1435</v>
      </c>
      <c r="E35" s="599"/>
      <c r="F35" s="600"/>
      <c r="G35" s="601"/>
      <c r="H35" s="842"/>
      <c r="I35" s="602"/>
      <c r="J35" s="1228">
        <v>5500</v>
      </c>
      <c r="K35" s="1228">
        <f>J35*(1+K40)</f>
        <v>5500</v>
      </c>
      <c r="L35" s="1228">
        <f t="shared" ref="L35:N35" si="9">K35*(1+L40)</f>
        <v>5500</v>
      </c>
      <c r="M35" s="1228">
        <f t="shared" si="9"/>
        <v>5500</v>
      </c>
      <c r="N35" s="1518">
        <f t="shared" si="9"/>
        <v>5500</v>
      </c>
    </row>
    <row r="36" spans="2:14" ht="11.25" x14ac:dyDescent="0.2">
      <c r="B36" s="593"/>
      <c r="C36" s="1616"/>
      <c r="D36" s="593"/>
      <c r="E36" s="599"/>
      <c r="F36" s="600"/>
      <c r="G36" s="601"/>
      <c r="H36" s="842"/>
      <c r="I36" s="602"/>
      <c r="J36" s="856"/>
      <c r="K36" s="856"/>
      <c r="L36" s="856"/>
      <c r="M36" s="856"/>
      <c r="N36" s="1199"/>
    </row>
    <row r="37" spans="2:14" ht="11.25" x14ac:dyDescent="0.2">
      <c r="B37" s="593"/>
      <c r="C37" s="1626" t="s">
        <v>1611</v>
      </c>
      <c r="D37" s="674" t="s">
        <v>1336</v>
      </c>
      <c r="E37" s="599"/>
      <c r="F37" s="600"/>
      <c r="G37" s="601"/>
      <c r="H37" s="842"/>
      <c r="I37" s="602"/>
      <c r="J37" s="1225">
        <f>CHOOSE($F$4,J38,J39)</f>
        <v>17000</v>
      </c>
      <c r="K37" s="1225">
        <f t="shared" ref="K37:N37" si="10">CHOOSE($F$4,K38,K39)</f>
        <v>17000</v>
      </c>
      <c r="L37" s="1226">
        <f t="shared" si="10"/>
        <v>17000</v>
      </c>
      <c r="M37" s="1226">
        <f t="shared" si="10"/>
        <v>17000</v>
      </c>
      <c r="N37" s="1227">
        <f t="shared" si="10"/>
        <v>17000</v>
      </c>
    </row>
    <row r="38" spans="2:14" ht="11.25" x14ac:dyDescent="0.2">
      <c r="B38" s="593"/>
      <c r="C38" s="1647" t="s">
        <v>1578</v>
      </c>
      <c r="D38" s="1519" t="s">
        <v>1434</v>
      </c>
      <c r="E38" s="599"/>
      <c r="F38" s="600"/>
      <c r="G38" s="601"/>
      <c r="H38" s="842"/>
      <c r="I38" s="602"/>
      <c r="J38" s="1228">
        <v>17000</v>
      </c>
      <c r="K38" s="1228">
        <v>17000</v>
      </c>
      <c r="L38" s="1228">
        <v>17000</v>
      </c>
      <c r="M38" s="1228">
        <v>17000</v>
      </c>
      <c r="N38" s="1518">
        <v>17000</v>
      </c>
    </row>
    <row r="39" spans="2:14" ht="11.25" x14ac:dyDescent="0.2">
      <c r="B39" s="593"/>
      <c r="C39" s="1647" t="s">
        <v>1579</v>
      </c>
      <c r="D39" s="1519" t="s">
        <v>1435</v>
      </c>
      <c r="E39" s="599"/>
      <c r="F39" s="600"/>
      <c r="G39" s="601"/>
      <c r="H39" s="842"/>
      <c r="I39" s="602"/>
      <c r="J39" s="1228">
        <v>15000</v>
      </c>
      <c r="K39" s="1228">
        <f>J39*(1+K44)</f>
        <v>15000</v>
      </c>
      <c r="L39" s="1228">
        <f t="shared" ref="L39:N39" si="11">K39*(1+L44)</f>
        <v>15000</v>
      </c>
      <c r="M39" s="1228">
        <f t="shared" si="11"/>
        <v>15000</v>
      </c>
      <c r="N39" s="1518">
        <f t="shared" si="11"/>
        <v>15000</v>
      </c>
    </row>
    <row r="40" spans="2:14" ht="11.25" x14ac:dyDescent="0.2">
      <c r="B40" s="593"/>
      <c r="C40" s="593"/>
      <c r="D40" s="593"/>
      <c r="E40" s="599"/>
      <c r="F40" s="600"/>
      <c r="G40" s="601"/>
      <c r="H40" s="842"/>
      <c r="I40" s="602"/>
      <c r="J40" s="856"/>
      <c r="K40" s="856"/>
      <c r="L40" s="856"/>
      <c r="M40" s="856"/>
      <c r="N40" s="1199"/>
    </row>
    <row r="41" spans="2:14" ht="11.25" x14ac:dyDescent="0.2">
      <c r="B41" s="593"/>
      <c r="C41" s="1626" t="s">
        <v>1612</v>
      </c>
      <c r="D41" s="674" t="s">
        <v>1437</v>
      </c>
      <c r="E41" s="599"/>
      <c r="F41" s="600"/>
      <c r="G41" s="601"/>
      <c r="H41" s="842"/>
      <c r="I41" s="602"/>
      <c r="J41" s="1225">
        <f>CHOOSE($F$4,J42,J43)</f>
        <v>17000</v>
      </c>
      <c r="K41" s="1225">
        <f t="shared" ref="K41:N41" si="12">CHOOSE($F$4,K42,K43)</f>
        <v>17000</v>
      </c>
      <c r="L41" s="1226">
        <f t="shared" si="12"/>
        <v>17000</v>
      </c>
      <c r="M41" s="1226">
        <f t="shared" si="12"/>
        <v>17000</v>
      </c>
      <c r="N41" s="1227">
        <f t="shared" si="12"/>
        <v>17000</v>
      </c>
    </row>
    <row r="42" spans="2:14" ht="11.25" x14ac:dyDescent="0.2">
      <c r="B42" s="593"/>
      <c r="C42" s="1647" t="s">
        <v>1578</v>
      </c>
      <c r="D42" s="1519" t="s">
        <v>1434</v>
      </c>
      <c r="E42" s="599"/>
      <c r="F42" s="600"/>
      <c r="G42" s="601"/>
      <c r="H42" s="842"/>
      <c r="I42" s="602"/>
      <c r="J42" s="1228">
        <v>17000</v>
      </c>
      <c r="K42" s="1228">
        <v>17000</v>
      </c>
      <c r="L42" s="1228">
        <v>17000</v>
      </c>
      <c r="M42" s="1228">
        <v>17000</v>
      </c>
      <c r="N42" s="1518">
        <v>17000</v>
      </c>
    </row>
    <row r="43" spans="2:14" ht="11.25" x14ac:dyDescent="0.2">
      <c r="B43" s="593"/>
      <c r="C43" s="1647" t="s">
        <v>1579</v>
      </c>
      <c r="D43" s="1519" t="s">
        <v>1435</v>
      </c>
      <c r="E43" s="599"/>
      <c r="F43" s="600"/>
      <c r="G43" s="601"/>
      <c r="H43" s="842"/>
      <c r="I43" s="602"/>
      <c r="J43" s="1228">
        <v>15000</v>
      </c>
      <c r="K43" s="1228">
        <f>J43*(1+K48)</f>
        <v>15000</v>
      </c>
      <c r="L43" s="1228">
        <f t="shared" ref="L43:N43" si="13">K43*(1+L48)</f>
        <v>15000</v>
      </c>
      <c r="M43" s="1228">
        <f t="shared" si="13"/>
        <v>15000</v>
      </c>
      <c r="N43" s="1518">
        <f t="shared" si="13"/>
        <v>15000</v>
      </c>
    </row>
    <row r="44" spans="2:14" ht="11.25" x14ac:dyDescent="0.2">
      <c r="B44" s="593"/>
      <c r="C44" s="593"/>
      <c r="D44" s="593"/>
      <c r="E44" s="599"/>
      <c r="F44" s="600"/>
      <c r="G44" s="601"/>
      <c r="H44" s="842"/>
      <c r="I44" s="602"/>
      <c r="J44" s="856"/>
      <c r="K44" s="856"/>
      <c r="L44" s="856"/>
      <c r="M44" s="856"/>
      <c r="N44" s="1199"/>
    </row>
    <row r="45" spans="2:14" ht="11.25" x14ac:dyDescent="0.2">
      <c r="B45" s="593"/>
      <c r="C45" s="1626" t="s">
        <v>1613</v>
      </c>
      <c r="D45" s="674" t="s">
        <v>1346</v>
      </c>
      <c r="E45" s="599"/>
      <c r="F45" s="600"/>
      <c r="G45" s="601"/>
      <c r="H45" s="842"/>
      <c r="I45" s="602"/>
      <c r="J45" s="1225">
        <f>CHOOSE($F$4,J46,J47)</f>
        <v>800</v>
      </c>
      <c r="K45" s="1225">
        <f t="shared" ref="K45:N45" si="14">CHOOSE($F$4,K46,K47)</f>
        <v>17000</v>
      </c>
      <c r="L45" s="1226">
        <f t="shared" si="14"/>
        <v>17000</v>
      </c>
      <c r="M45" s="1226">
        <f t="shared" si="14"/>
        <v>17000</v>
      </c>
      <c r="N45" s="1227">
        <f t="shared" si="14"/>
        <v>17000</v>
      </c>
    </row>
    <row r="46" spans="2:14" ht="11.25" x14ac:dyDescent="0.2">
      <c r="B46" s="593"/>
      <c r="C46" s="1647" t="s">
        <v>1578</v>
      </c>
      <c r="D46" s="1519" t="s">
        <v>1434</v>
      </c>
      <c r="E46" s="599"/>
      <c r="F46" s="600"/>
      <c r="G46" s="601"/>
      <c r="H46" s="842"/>
      <c r="I46" s="602"/>
      <c r="J46" s="1228">
        <v>800</v>
      </c>
      <c r="K46" s="1228">
        <v>17000</v>
      </c>
      <c r="L46" s="1228">
        <v>17000</v>
      </c>
      <c r="M46" s="1228">
        <v>17000</v>
      </c>
      <c r="N46" s="1518">
        <v>17000</v>
      </c>
    </row>
    <row r="47" spans="2:14" ht="11.25" x14ac:dyDescent="0.2">
      <c r="B47" s="593"/>
      <c r="C47" s="1647" t="s">
        <v>1579</v>
      </c>
      <c r="D47" s="1519" t="s">
        <v>1435</v>
      </c>
      <c r="E47" s="599"/>
      <c r="F47" s="600"/>
      <c r="G47" s="601"/>
      <c r="H47" s="842"/>
      <c r="I47" s="602"/>
      <c r="J47" s="1228">
        <v>600</v>
      </c>
      <c r="K47" s="1228">
        <v>600</v>
      </c>
      <c r="L47" s="1228">
        <v>600</v>
      </c>
      <c r="M47" s="1228">
        <v>600</v>
      </c>
      <c r="N47" s="1518">
        <v>600</v>
      </c>
    </row>
    <row r="48" spans="2:14" ht="11.25" x14ac:dyDescent="0.2">
      <c r="B48" s="1244"/>
      <c r="C48" s="1244"/>
      <c r="D48" s="1244"/>
      <c r="E48" s="1245"/>
      <c r="F48" s="1246"/>
      <c r="G48" s="1247"/>
      <c r="H48" s="1248"/>
      <c r="I48" s="1249"/>
      <c r="J48" s="1250"/>
      <c r="K48" s="1250"/>
      <c r="L48" s="1250"/>
      <c r="M48" s="1250"/>
      <c r="N48" s="1251"/>
    </row>
    <row r="49" ht="11.25" x14ac:dyDescent="0.2"/>
    <row r="50" ht="11.25" x14ac:dyDescent="0.2"/>
    <row r="51" ht="11.25" x14ac:dyDescent="0.2"/>
    <row r="52" ht="11.25" hidden="1" x14ac:dyDescent="0.2"/>
    <row r="53" ht="11.25" hidden="1" x14ac:dyDescent="0.2"/>
    <row r="54" ht="11.25" hidden="1" x14ac:dyDescent="0.2"/>
    <row r="55" ht="11.25" hidden="1" x14ac:dyDescent="0.2"/>
    <row r="56" ht="11.25" hidden="1" x14ac:dyDescent="0.2"/>
    <row r="57" ht="11.25" hidden="1" x14ac:dyDescent="0.2"/>
    <row r="58" ht="11.25" hidden="1" x14ac:dyDescent="0.2"/>
    <row r="59" ht="11.25" hidden="1" x14ac:dyDescent="0.2"/>
    <row r="60" ht="11.25" hidden="1" x14ac:dyDescent="0.2"/>
    <row r="61" ht="11.25" hidden="1" x14ac:dyDescent="0.2"/>
    <row r="62" ht="11.25" hidden="1" x14ac:dyDescent="0.2"/>
    <row r="63" ht="11.25" hidden="1" x14ac:dyDescent="0.2"/>
    <row r="64" ht="11.25" hidden="1" x14ac:dyDescent="0.2"/>
    <row r="65" ht="11.25" hidden="1" x14ac:dyDescent="0.2"/>
    <row r="66" ht="11.25" hidden="1" x14ac:dyDescent="0.2"/>
    <row r="67" ht="11.25" hidden="1" x14ac:dyDescent="0.2"/>
    <row r="68" ht="11.25" hidden="1" x14ac:dyDescent="0.2"/>
    <row r="69" ht="11.25" hidden="1" x14ac:dyDescent="0.2"/>
    <row r="70" ht="11.25" hidden="1" x14ac:dyDescent="0.2"/>
    <row r="71" ht="11.25" hidden="1" x14ac:dyDescent="0.2"/>
    <row r="72" ht="11.25" hidden="1" x14ac:dyDescent="0.2"/>
    <row r="73" ht="11.25" hidden="1" x14ac:dyDescent="0.2"/>
    <row r="74" ht="11.25" hidden="1" x14ac:dyDescent="0.2"/>
    <row r="75" ht="11.25" hidden="1" x14ac:dyDescent="0.2"/>
    <row r="76" ht="11.25" hidden="1" x14ac:dyDescent="0.2"/>
    <row r="77" ht="11.25" hidden="1" x14ac:dyDescent="0.2"/>
    <row r="78" ht="11.25" hidden="1" x14ac:dyDescent="0.2"/>
    <row r="79" ht="11.25" hidden="1" x14ac:dyDescent="0.2"/>
    <row r="80" ht="11.25" hidden="1" x14ac:dyDescent="0.2"/>
    <row r="81" ht="11.25" hidden="1" x14ac:dyDescent="0.2"/>
    <row r="82" ht="11.25" hidden="1" x14ac:dyDescent="0.2"/>
    <row r="83" ht="11.25" hidden="1" x14ac:dyDescent="0.2"/>
    <row r="84" ht="11.25" hidden="1" x14ac:dyDescent="0.2"/>
    <row r="85" ht="11.25" hidden="1" x14ac:dyDescent="0.2"/>
    <row r="86" ht="11.25" hidden="1" x14ac:dyDescent="0.2"/>
    <row r="87" ht="11.25" hidden="1" x14ac:dyDescent="0.2"/>
    <row r="88" ht="11.25" hidden="1" x14ac:dyDescent="0.2"/>
    <row r="89" ht="11.25" hidden="1" x14ac:dyDescent="0.2"/>
    <row r="90" ht="11.25" hidden="1" x14ac:dyDescent="0.2"/>
    <row r="91" ht="11.25" hidden="1" x14ac:dyDescent="0.2"/>
    <row r="92" ht="11.25" hidden="1" x14ac:dyDescent="0.2"/>
    <row r="93" ht="11.25" hidden="1" x14ac:dyDescent="0.2"/>
    <row r="94" ht="11.25" hidden="1" x14ac:dyDescent="0.2"/>
    <row r="95" ht="11.25" hidden="1" x14ac:dyDescent="0.2"/>
    <row r="96" ht="11.25" hidden="1" x14ac:dyDescent="0.2"/>
    <row r="97" ht="11.25" hidden="1" x14ac:dyDescent="0.2"/>
    <row r="98" ht="11.25" hidden="1" x14ac:dyDescent="0.2"/>
    <row r="99" ht="11.25" hidden="1" x14ac:dyDescent="0.2"/>
    <row r="100" ht="11.25" hidden="1" x14ac:dyDescent="0.2"/>
    <row r="101" ht="11.25" hidden="1" x14ac:dyDescent="0.2"/>
    <row r="102" ht="11.25" hidden="1" x14ac:dyDescent="0.2"/>
    <row r="103" ht="11.25" hidden="1" x14ac:dyDescent="0.2"/>
    <row r="104" ht="11.25" hidden="1" x14ac:dyDescent="0.2"/>
    <row r="105" ht="11.25" hidden="1" x14ac:dyDescent="0.2"/>
    <row r="106" ht="11.25" hidden="1" x14ac:dyDescent="0.2"/>
    <row r="107" ht="11.25" hidden="1" x14ac:dyDescent="0.2"/>
    <row r="108" ht="11.25" hidden="1" x14ac:dyDescent="0.2"/>
    <row r="109" ht="11.25" hidden="1" x14ac:dyDescent="0.2"/>
    <row r="110" ht="11.25" hidden="1" x14ac:dyDescent="0.2"/>
    <row r="111" ht="11.25" hidden="1" x14ac:dyDescent="0.2"/>
    <row r="112" ht="11.25" hidden="1" x14ac:dyDescent="0.2"/>
    <row r="113" ht="11.25" hidden="1" x14ac:dyDescent="0.2"/>
    <row r="114" ht="11.25" hidden="1" x14ac:dyDescent="0.2"/>
    <row r="115" ht="11.25" hidden="1" x14ac:dyDescent="0.2"/>
    <row r="116" ht="11.25" hidden="1" x14ac:dyDescent="0.2"/>
    <row r="117" ht="11.25" hidden="1" x14ac:dyDescent="0.2"/>
    <row r="118" ht="11.25" hidden="1" x14ac:dyDescent="0.2"/>
    <row r="119" ht="11.25" hidden="1" x14ac:dyDescent="0.2"/>
    <row r="120" ht="11.25" hidden="1" x14ac:dyDescent="0.2"/>
    <row r="121" ht="11.25" hidden="1" x14ac:dyDescent="0.2"/>
    <row r="122" ht="11.25" hidden="1" x14ac:dyDescent="0.2"/>
    <row r="123" ht="11.25" hidden="1" x14ac:dyDescent="0.2"/>
    <row r="124" ht="11.25" hidden="1" x14ac:dyDescent="0.2"/>
    <row r="125" ht="11.25" hidden="1" x14ac:dyDescent="0.2"/>
    <row r="126" ht="11.25" hidden="1" x14ac:dyDescent="0.2"/>
    <row r="127" ht="11.25" hidden="1" x14ac:dyDescent="0.2"/>
    <row r="128" ht="11.25" hidden="1" x14ac:dyDescent="0.2"/>
    <row r="129" ht="11.25" hidden="1" x14ac:dyDescent="0.2"/>
    <row r="130" ht="11.25" hidden="1" x14ac:dyDescent="0.2"/>
    <row r="131" ht="11.25" hidden="1" x14ac:dyDescent="0.2"/>
    <row r="132" ht="11.25" hidden="1" x14ac:dyDescent="0.2"/>
    <row r="133" ht="11.25" hidden="1" x14ac:dyDescent="0.2"/>
    <row r="134" ht="11.25" hidden="1" x14ac:dyDescent="0.2"/>
    <row r="135" ht="11.25" hidden="1" x14ac:dyDescent="0.2"/>
    <row r="136" ht="11.25" hidden="1" x14ac:dyDescent="0.2"/>
    <row r="137" ht="11.25" hidden="1" x14ac:dyDescent="0.2"/>
    <row r="138" ht="11.25" hidden="1" x14ac:dyDescent="0.2"/>
  </sheetData>
  <conditionalFormatting sqref="I3:N3">
    <cfRule type="containsText" dxfId="22" priority="3" operator="containsText" text="OK">
      <formula>NOT(ISERROR(SEARCH("OK",I3)))</formula>
    </cfRule>
    <cfRule type="containsText" dxfId="21" priority="4" operator="containsText" text="ERROR">
      <formula>NOT(ISERROR(SEARCH("ERROR",I3)))</formula>
    </cfRule>
  </conditionalFormatting>
  <pageMargins left="0.70866141732283472" right="0.70866141732283472" top="0.74803149606299213" bottom="0.74803149606299213" header="0.31496062992125984" footer="0.31496062992125984"/>
  <pageSetup scale="78" orientation="landscape" r:id="rId1"/>
  <headerFooter>
    <oddFooter>&amp;C&amp;7&amp;B&amp;"Arial"Document Classification: KPMG Confidential</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4ABBAC-0D3E-47B6-9ADF-8F77DB720573}">
  <sheetPr>
    <tabColor theme="5"/>
  </sheetPr>
  <dimension ref="A1:M234"/>
  <sheetViews>
    <sheetView showGridLines="0" workbookViewId="0">
      <pane ySplit="2" topLeftCell="A219" activePane="bottomLeft" state="frozen"/>
      <selection pane="bottomLeft" activeCell="B158" sqref="B158"/>
    </sheetView>
  </sheetViews>
  <sheetFormatPr defaultColWidth="8.85546875" defaultRowHeight="11.25" outlineLevelRow="1" x14ac:dyDescent="0.2"/>
  <cols>
    <col min="1" max="1" width="1.7109375" style="1123" customWidth="1"/>
    <col min="2" max="2" width="31.5703125" style="1123" customWidth="1"/>
    <col min="3" max="3" width="5.7109375" style="1123" customWidth="1"/>
    <col min="4" max="4" width="8.85546875" style="1123" customWidth="1"/>
    <col min="5" max="5" width="10.85546875" style="1123" customWidth="1"/>
    <col min="6" max="7" width="3.28515625" style="1123" customWidth="1"/>
    <col min="8" max="13" width="8.85546875" style="1123" customWidth="1"/>
    <col min="14" max="16384" width="8.85546875" style="1123"/>
  </cols>
  <sheetData>
    <row r="1" spans="1:13" x14ac:dyDescent="0.2">
      <c r="A1" s="190"/>
      <c r="B1" s="190"/>
      <c r="C1" s="190"/>
      <c r="D1" s="190"/>
      <c r="E1" s="190"/>
      <c r="F1" s="190"/>
      <c r="G1" s="190"/>
      <c r="H1" s="190"/>
      <c r="I1" s="190"/>
      <c r="J1" s="190"/>
      <c r="K1" s="190"/>
      <c r="L1" s="190"/>
      <c r="M1" s="190"/>
    </row>
    <row r="2" spans="1:13" ht="12" x14ac:dyDescent="0.2">
      <c r="A2" s="190"/>
      <c r="B2" s="374" t="str">
        <f>CONCATENATE("Predpoklady a výpočty:", " N.O.Senior Family Resort")</f>
        <v>Predpoklady a výpočty: N.O.Senior Family Resort</v>
      </c>
      <c r="C2" s="545"/>
      <c r="D2" s="190"/>
      <c r="E2" s="190"/>
      <c r="F2" s="190"/>
      <c r="G2" s="190"/>
      <c r="H2" s="694">
        <f>D14</f>
        <v>2030</v>
      </c>
      <c r="I2" s="694">
        <f>H2+1</f>
        <v>2031</v>
      </c>
      <c r="J2" s="694">
        <f t="shared" ref="J2:L2" si="0">I2+1</f>
        <v>2032</v>
      </c>
      <c r="K2" s="694">
        <f t="shared" si="0"/>
        <v>2033</v>
      </c>
      <c r="L2" s="694">
        <f t="shared" si="0"/>
        <v>2034</v>
      </c>
      <c r="M2" s="694"/>
    </row>
    <row r="3" spans="1:13" x14ac:dyDescent="0.2">
      <c r="A3" s="934"/>
      <c r="B3" s="934"/>
      <c r="C3" s="934"/>
      <c r="D3" s="934"/>
      <c r="E3" s="934"/>
      <c r="F3" s="934"/>
      <c r="G3" s="934"/>
      <c r="H3" s="934"/>
      <c r="I3" s="934"/>
      <c r="J3" s="934"/>
      <c r="K3" s="934"/>
      <c r="L3" s="934"/>
      <c r="M3" s="934"/>
    </row>
    <row r="4" spans="1:13" x14ac:dyDescent="0.2">
      <c r="A4" s="934"/>
      <c r="B4" s="934"/>
      <c r="C4" s="934"/>
      <c r="D4" s="934"/>
      <c r="E4" s="934"/>
      <c r="F4" s="934"/>
      <c r="G4" s="934"/>
      <c r="H4" s="934"/>
      <c r="I4" s="934"/>
      <c r="J4" s="934"/>
      <c r="K4" s="934"/>
      <c r="L4" s="934"/>
      <c r="M4" s="934"/>
    </row>
    <row r="5" spans="1:13" ht="19.5" customHeight="1" x14ac:dyDescent="0.2">
      <c r="A5" s="934"/>
      <c r="B5" s="862" t="s">
        <v>1000</v>
      </c>
      <c r="C5" s="863"/>
      <c r="D5" s="863"/>
      <c r="E5" s="864"/>
      <c r="F5" s="865"/>
      <c r="G5" s="865"/>
      <c r="H5" s="865"/>
      <c r="I5" s="865"/>
      <c r="J5" s="865"/>
      <c r="K5" s="865"/>
      <c r="L5" s="865"/>
      <c r="M5" s="934"/>
    </row>
    <row r="6" spans="1:13" x14ac:dyDescent="0.2">
      <c r="A6" s="934"/>
      <c r="B6" s="878" t="s">
        <v>1001</v>
      </c>
      <c r="C6" s="867"/>
      <c r="D6" s="868"/>
      <c r="E6" s="879"/>
      <c r="F6" s="879"/>
      <c r="G6" s="879"/>
      <c r="H6" s="879"/>
      <c r="I6" s="879"/>
      <c r="J6" s="879"/>
      <c r="K6" s="879"/>
      <c r="L6" s="880"/>
      <c r="M6" s="934"/>
    </row>
    <row r="7" spans="1:13" x14ac:dyDescent="0.2">
      <c r="A7" s="934"/>
      <c r="B7" s="869" t="s">
        <v>1002</v>
      </c>
      <c r="C7" s="870"/>
      <c r="D7" s="871"/>
      <c r="E7" s="741"/>
      <c r="F7" s="741"/>
      <c r="G7" s="741"/>
      <c r="H7" s="741"/>
      <c r="I7" s="741"/>
      <c r="J7" s="741"/>
      <c r="K7" s="741"/>
      <c r="L7" s="881"/>
      <c r="M7" s="934"/>
    </row>
    <row r="8" spans="1:13" x14ac:dyDescent="0.2">
      <c r="A8" s="934"/>
      <c r="B8" s="872" t="s">
        <v>1003</v>
      </c>
      <c r="C8" s="870"/>
      <c r="D8" s="871"/>
      <c r="E8" s="741"/>
      <c r="F8" s="741"/>
      <c r="G8" s="741"/>
      <c r="H8" s="741"/>
      <c r="I8" s="741"/>
      <c r="J8" s="741"/>
      <c r="K8" s="741"/>
      <c r="L8" s="881"/>
      <c r="M8" s="934"/>
    </row>
    <row r="9" spans="1:13" x14ac:dyDescent="0.2">
      <c r="A9" s="934"/>
      <c r="B9" s="873" t="s">
        <v>1004</v>
      </c>
      <c r="C9" s="870"/>
      <c r="D9" s="871"/>
      <c r="E9" s="741"/>
      <c r="F9" s="741"/>
      <c r="G9" s="741"/>
      <c r="H9" s="741"/>
      <c r="I9" s="741"/>
      <c r="J9" s="741"/>
      <c r="K9" s="741"/>
      <c r="L9" s="881"/>
      <c r="M9" s="934"/>
    </row>
    <row r="10" spans="1:13" x14ac:dyDescent="0.2">
      <c r="A10" s="934"/>
      <c r="B10" s="874"/>
      <c r="C10" s="875"/>
      <c r="D10" s="876"/>
      <c r="E10" s="877"/>
      <c r="F10" s="877"/>
      <c r="G10" s="877"/>
      <c r="H10" s="877"/>
      <c r="I10" s="877"/>
      <c r="J10" s="877"/>
      <c r="K10" s="877"/>
      <c r="L10" s="882"/>
      <c r="M10" s="934"/>
    </row>
    <row r="11" spans="1:13" x14ac:dyDescent="0.2">
      <c r="A11" s="934"/>
      <c r="B11" s="934"/>
      <c r="C11" s="934"/>
      <c r="D11" s="934"/>
      <c r="E11" s="934"/>
      <c r="F11" s="934"/>
      <c r="G11" s="934"/>
      <c r="H11" s="934"/>
      <c r="I11" s="934"/>
      <c r="J11" s="934"/>
      <c r="K11" s="934"/>
      <c r="L11" s="934"/>
      <c r="M11" s="934"/>
    </row>
    <row r="12" spans="1:13" ht="19.5" customHeight="1" x14ac:dyDescent="0.2">
      <c r="A12" s="934"/>
      <c r="B12" s="862" t="s">
        <v>1063</v>
      </c>
      <c r="C12" s="863"/>
      <c r="D12" s="863"/>
      <c r="E12" s="864"/>
      <c r="F12" s="865"/>
      <c r="G12" s="865"/>
      <c r="H12" s="865"/>
      <c r="I12" s="865"/>
      <c r="J12" s="865"/>
      <c r="K12" s="865"/>
      <c r="L12" s="865"/>
      <c r="M12" s="934"/>
    </row>
    <row r="13" spans="1:13" outlineLevel="1" x14ac:dyDescent="0.2">
      <c r="A13" s="934"/>
      <c r="B13" s="893" t="s">
        <v>1006</v>
      </c>
      <c r="C13" s="894"/>
      <c r="D13" s="895"/>
      <c r="E13" s="896"/>
      <c r="F13" s="879"/>
      <c r="G13" s="879"/>
      <c r="H13" s="879"/>
      <c r="I13" s="879"/>
      <c r="J13" s="879"/>
      <c r="K13" s="879"/>
      <c r="L13" s="880"/>
      <c r="M13" s="934"/>
    </row>
    <row r="14" spans="1:13" outlineLevel="1" x14ac:dyDescent="0.2">
      <c r="A14" s="934"/>
      <c r="B14" s="885" t="s">
        <v>1007</v>
      </c>
      <c r="C14" s="884"/>
      <c r="D14" s="886">
        <v>2030</v>
      </c>
      <c r="E14" s="887"/>
      <c r="F14" s="741"/>
      <c r="G14" s="741"/>
      <c r="H14" s="741"/>
      <c r="I14" s="741"/>
      <c r="J14" s="741"/>
      <c r="K14" s="741"/>
      <c r="L14" s="881"/>
      <c r="M14" s="934"/>
    </row>
    <row r="15" spans="1:13" outlineLevel="1" x14ac:dyDescent="0.2">
      <c r="A15" s="934"/>
      <c r="B15" s="885" t="s">
        <v>1008</v>
      </c>
      <c r="C15" s="884"/>
      <c r="D15" s="888"/>
      <c r="E15" s="887" t="s">
        <v>1009</v>
      </c>
      <c r="F15" s="741"/>
      <c r="G15" s="741"/>
      <c r="H15" s="897">
        <v>365</v>
      </c>
      <c r="I15" s="897">
        <v>365</v>
      </c>
      <c r="J15" s="897">
        <v>365</v>
      </c>
      <c r="K15" s="898">
        <v>365</v>
      </c>
      <c r="L15" s="983">
        <v>365</v>
      </c>
      <c r="M15" s="934"/>
    </row>
    <row r="16" spans="1:13" outlineLevel="1" x14ac:dyDescent="0.2">
      <c r="A16" s="934"/>
      <c r="B16" s="885" t="s">
        <v>1010</v>
      </c>
      <c r="C16" s="884"/>
      <c r="D16" s="886">
        <v>1</v>
      </c>
      <c r="E16" s="887" t="s">
        <v>1009</v>
      </c>
      <c r="F16" s="741"/>
      <c r="G16" s="741"/>
      <c r="H16" s="897">
        <f>12-D16+1</f>
        <v>12</v>
      </c>
      <c r="I16" s="897">
        <v>12</v>
      </c>
      <c r="J16" s="897">
        <v>12</v>
      </c>
      <c r="K16" s="897">
        <v>12</v>
      </c>
      <c r="L16" s="983">
        <v>12</v>
      </c>
      <c r="M16" s="934"/>
    </row>
    <row r="17" spans="1:13" outlineLevel="1" x14ac:dyDescent="0.2">
      <c r="A17" s="934"/>
      <c r="B17" s="899" t="s">
        <v>1065</v>
      </c>
      <c r="C17" s="741"/>
      <c r="D17" s="741"/>
      <c r="E17" s="887" t="s">
        <v>1009</v>
      </c>
      <c r="F17" s="741"/>
      <c r="G17" s="741"/>
      <c r="H17" s="897">
        <v>30</v>
      </c>
      <c r="I17" s="897">
        <v>30</v>
      </c>
      <c r="J17" s="897">
        <v>30</v>
      </c>
      <c r="K17" s="897">
        <v>30</v>
      </c>
      <c r="L17" s="983">
        <v>30</v>
      </c>
      <c r="M17" s="934"/>
    </row>
    <row r="18" spans="1:13" outlineLevel="1" x14ac:dyDescent="0.2">
      <c r="A18" s="934"/>
      <c r="B18" s="885"/>
      <c r="C18" s="884"/>
      <c r="D18" s="887"/>
      <c r="E18" s="887"/>
      <c r="F18" s="741"/>
      <c r="G18" s="741"/>
      <c r="H18" s="741"/>
      <c r="I18" s="741"/>
      <c r="J18" s="741"/>
      <c r="K18" s="741"/>
      <c r="L18" s="881"/>
      <c r="M18" s="934"/>
    </row>
    <row r="19" spans="1:13" outlineLevel="1" x14ac:dyDescent="0.2">
      <c r="A19" s="934"/>
      <c r="B19" s="885" t="s">
        <v>1013</v>
      </c>
      <c r="C19" s="884"/>
      <c r="D19" s="886">
        <v>700</v>
      </c>
      <c r="E19" s="887" t="s">
        <v>1014</v>
      </c>
      <c r="F19" s="741"/>
      <c r="G19" s="741"/>
      <c r="H19" s="741"/>
      <c r="I19" s="741"/>
      <c r="J19" s="741"/>
      <c r="K19" s="741"/>
      <c r="L19" s="881"/>
      <c r="M19" s="934"/>
    </row>
    <row r="20" spans="1:13" outlineLevel="1" x14ac:dyDescent="0.2">
      <c r="A20" s="934"/>
      <c r="B20" s="885" t="s">
        <v>1017</v>
      </c>
      <c r="C20" s="884"/>
      <c r="D20" s="889">
        <v>0.21</v>
      </c>
      <c r="E20" s="887"/>
      <c r="F20" s="741"/>
      <c r="G20" s="741"/>
      <c r="H20" s="900">
        <f>D20</f>
        <v>0.21</v>
      </c>
      <c r="I20" s="900">
        <f>H20</f>
        <v>0.21</v>
      </c>
      <c r="J20" s="900">
        <f t="shared" ref="J20:L21" si="1">I20</f>
        <v>0.21</v>
      </c>
      <c r="K20" s="900">
        <f t="shared" si="1"/>
        <v>0.21</v>
      </c>
      <c r="L20" s="1012">
        <f t="shared" si="1"/>
        <v>0.21</v>
      </c>
      <c r="M20" s="934"/>
    </row>
    <row r="21" spans="1:13" outlineLevel="1" x14ac:dyDescent="0.2">
      <c r="A21" s="934"/>
      <c r="B21" s="885" t="s">
        <v>1011</v>
      </c>
      <c r="C21" s="884"/>
      <c r="D21" s="889">
        <v>0.03</v>
      </c>
      <c r="E21" s="887"/>
      <c r="F21" s="741"/>
      <c r="G21" s="741"/>
      <c r="H21" s="900">
        <f>D21</f>
        <v>0.03</v>
      </c>
      <c r="I21" s="900">
        <f>H21</f>
        <v>0.03</v>
      </c>
      <c r="J21" s="900">
        <f t="shared" si="1"/>
        <v>0.03</v>
      </c>
      <c r="K21" s="900">
        <f t="shared" si="1"/>
        <v>0.03</v>
      </c>
      <c r="L21" s="1012">
        <f t="shared" si="1"/>
        <v>0.03</v>
      </c>
      <c r="M21" s="934"/>
    </row>
    <row r="22" spans="1:13" outlineLevel="1" x14ac:dyDescent="0.2">
      <c r="A22" s="934"/>
      <c r="B22" s="899" t="s">
        <v>1015</v>
      </c>
      <c r="C22" s="741"/>
      <c r="D22" s="741"/>
      <c r="E22" s="741"/>
      <c r="F22" s="741"/>
      <c r="G22" s="741"/>
      <c r="H22" s="897">
        <v>0</v>
      </c>
      <c r="I22" s="897">
        <f>H22+1</f>
        <v>1</v>
      </c>
      <c r="J22" s="897">
        <f t="shared" ref="J22:L22" si="2">I22+1</f>
        <v>2</v>
      </c>
      <c r="K22" s="897">
        <f t="shared" si="2"/>
        <v>3</v>
      </c>
      <c r="L22" s="983">
        <f t="shared" si="2"/>
        <v>4</v>
      </c>
      <c r="M22" s="934"/>
    </row>
    <row r="23" spans="1:13" outlineLevel="1" x14ac:dyDescent="0.2">
      <c r="A23" s="934"/>
      <c r="B23" s="899" t="s">
        <v>1016</v>
      </c>
      <c r="C23" s="741"/>
      <c r="D23" s="741"/>
      <c r="E23" s="741"/>
      <c r="F23" s="741"/>
      <c r="G23" s="741"/>
      <c r="H23" s="901">
        <v>1</v>
      </c>
      <c r="I23" s="901">
        <f>H23*(1+I$21)</f>
        <v>1.03</v>
      </c>
      <c r="J23" s="901">
        <f t="shared" ref="J23:L23" si="3">I23*(1+J$21)</f>
        <v>1.0609</v>
      </c>
      <c r="K23" s="901">
        <f t="shared" si="3"/>
        <v>1.092727</v>
      </c>
      <c r="L23" s="1013">
        <f t="shared" si="3"/>
        <v>1.1255088100000001</v>
      </c>
      <c r="M23" s="934"/>
    </row>
    <row r="24" spans="1:13" outlineLevel="1" x14ac:dyDescent="0.2">
      <c r="A24" s="934"/>
      <c r="B24" s="899"/>
      <c r="C24" s="741"/>
      <c r="D24" s="741"/>
      <c r="E24" s="741"/>
      <c r="F24" s="741"/>
      <c r="G24" s="741"/>
      <c r="H24" s="901"/>
      <c r="I24" s="901"/>
      <c r="J24" s="901"/>
      <c r="K24" s="901"/>
      <c r="L24" s="1013"/>
      <c r="M24" s="934"/>
    </row>
    <row r="25" spans="1:13" outlineLevel="1" x14ac:dyDescent="0.2">
      <c r="A25" s="934"/>
      <c r="B25" s="899"/>
      <c r="C25" s="741"/>
      <c r="D25" s="741"/>
      <c r="E25" s="741"/>
      <c r="F25" s="741"/>
      <c r="G25" s="741"/>
      <c r="H25" s="741"/>
      <c r="I25" s="741"/>
      <c r="J25" s="741"/>
      <c r="K25" s="741"/>
      <c r="L25" s="881"/>
      <c r="M25" s="934"/>
    </row>
    <row r="26" spans="1:13" outlineLevel="1" x14ac:dyDescent="0.2">
      <c r="A26" s="934"/>
      <c r="B26" s="883" t="s">
        <v>1018</v>
      </c>
      <c r="C26" s="741"/>
      <c r="D26" s="741"/>
      <c r="E26" s="741"/>
      <c r="F26" s="741"/>
      <c r="G26" s="741"/>
      <c r="H26" s="741"/>
      <c r="I26" s="741"/>
      <c r="J26" s="741"/>
      <c r="K26" s="741"/>
      <c r="L26" s="881"/>
      <c r="M26" s="934"/>
    </row>
    <row r="27" spans="1:13" outlineLevel="1" x14ac:dyDescent="0.2">
      <c r="A27" s="934"/>
      <c r="B27" s="927" t="s">
        <v>1058</v>
      </c>
      <c r="C27" s="741"/>
      <c r="D27" s="741"/>
      <c r="E27" s="741"/>
      <c r="F27" s="741"/>
      <c r="G27" s="741"/>
      <c r="H27" s="741"/>
      <c r="I27" s="741"/>
      <c r="J27" s="741"/>
      <c r="K27" s="741"/>
      <c r="L27" s="881"/>
      <c r="M27" s="934"/>
    </row>
    <row r="28" spans="1:13" outlineLevel="1" x14ac:dyDescent="0.2">
      <c r="A28" s="934"/>
      <c r="B28" s="1373"/>
      <c r="C28" s="741"/>
      <c r="D28" s="741"/>
      <c r="E28" s="741"/>
      <c r="F28" s="741"/>
      <c r="G28" s="741"/>
      <c r="H28" s="741"/>
      <c r="I28" s="741"/>
      <c r="J28" s="741"/>
      <c r="K28" s="741"/>
      <c r="L28" s="881"/>
      <c r="M28" s="934"/>
    </row>
    <row r="29" spans="1:13" outlineLevel="1" x14ac:dyDescent="0.2">
      <c r="A29" s="934"/>
      <c r="B29" s="1373" t="s">
        <v>1222</v>
      </c>
      <c r="C29" s="741"/>
      <c r="D29" s="1340">
        <v>6</v>
      </c>
      <c r="E29" s="887" t="s">
        <v>1009</v>
      </c>
      <c r="F29" s="741"/>
      <c r="G29" s="741"/>
      <c r="H29" s="741">
        <f>D29</f>
        <v>6</v>
      </c>
      <c r="I29" s="741">
        <f>H29</f>
        <v>6</v>
      </c>
      <c r="J29" s="741">
        <f t="shared" ref="J29:L29" si="4">I29</f>
        <v>6</v>
      </c>
      <c r="K29" s="741">
        <f t="shared" si="4"/>
        <v>6</v>
      </c>
      <c r="L29" s="881">
        <f t="shared" si="4"/>
        <v>6</v>
      </c>
      <c r="M29" s="934"/>
    </row>
    <row r="30" spans="1:13" outlineLevel="1" x14ac:dyDescent="0.2">
      <c r="A30" s="934"/>
      <c r="B30" s="1373" t="s">
        <v>1223</v>
      </c>
      <c r="C30" s="741"/>
      <c r="D30" s="1340">
        <v>2</v>
      </c>
      <c r="E30" s="887" t="s">
        <v>1009</v>
      </c>
      <c r="F30" s="741"/>
      <c r="G30" s="741"/>
      <c r="H30" s="741">
        <f>D30</f>
        <v>2</v>
      </c>
      <c r="I30" s="741">
        <f>H30</f>
        <v>2</v>
      </c>
      <c r="J30" s="741">
        <f t="shared" ref="J30:L30" si="5">I30</f>
        <v>2</v>
      </c>
      <c r="K30" s="741">
        <f t="shared" si="5"/>
        <v>2</v>
      </c>
      <c r="L30" s="881">
        <f t="shared" si="5"/>
        <v>2</v>
      </c>
      <c r="M30" s="934"/>
    </row>
    <row r="31" spans="1:13" outlineLevel="1" x14ac:dyDescent="0.2">
      <c r="A31" s="934"/>
      <c r="B31" s="1373" t="s">
        <v>1224</v>
      </c>
      <c r="C31" s="741"/>
      <c r="D31" s="1212">
        <v>65</v>
      </c>
      <c r="E31" s="1089" t="s">
        <v>1218</v>
      </c>
      <c r="F31" s="741"/>
      <c r="G31" s="741"/>
      <c r="H31" s="741">
        <f>H$29*$D$31</f>
        <v>390</v>
      </c>
      <c r="I31" s="741">
        <f t="shared" ref="I31:L31" si="6">I$29*$D$31</f>
        <v>390</v>
      </c>
      <c r="J31" s="741">
        <f t="shared" si="6"/>
        <v>390</v>
      </c>
      <c r="K31" s="741">
        <f t="shared" si="6"/>
        <v>390</v>
      </c>
      <c r="L31" s="881">
        <f t="shared" si="6"/>
        <v>390</v>
      </c>
      <c r="M31" s="934"/>
    </row>
    <row r="32" spans="1:13" outlineLevel="1" x14ac:dyDescent="0.2">
      <c r="A32" s="934"/>
      <c r="B32" s="1373"/>
      <c r="C32" s="741"/>
      <c r="D32" s="741"/>
      <c r="E32" s="1089"/>
      <c r="F32" s="741"/>
      <c r="G32" s="741"/>
      <c r="H32" s="741"/>
      <c r="I32" s="741"/>
      <c r="J32" s="741"/>
      <c r="K32" s="741"/>
      <c r="L32" s="881"/>
      <c r="M32" s="934"/>
    </row>
    <row r="33" spans="1:13" outlineLevel="1" x14ac:dyDescent="0.2">
      <c r="A33" s="934"/>
      <c r="B33" s="927" t="s">
        <v>1225</v>
      </c>
      <c r="C33" s="741"/>
      <c r="D33" s="741"/>
      <c r="E33" s="1089"/>
      <c r="F33" s="741"/>
      <c r="G33" s="741"/>
      <c r="H33" s="741"/>
      <c r="I33" s="741"/>
      <c r="J33" s="741"/>
      <c r="K33" s="741"/>
      <c r="L33" s="881"/>
      <c r="M33" s="934"/>
    </row>
    <row r="34" spans="1:13" outlineLevel="1" x14ac:dyDescent="0.2">
      <c r="A34" s="934"/>
      <c r="B34" s="1373" t="s">
        <v>1226</v>
      </c>
      <c r="C34" s="741"/>
      <c r="D34" s="913">
        <v>20</v>
      </c>
      <c r="E34" s="887" t="s">
        <v>1009</v>
      </c>
      <c r="F34" s="741"/>
      <c r="G34" s="741"/>
      <c r="H34" s="741">
        <f>D34</f>
        <v>20</v>
      </c>
      <c r="I34" s="741">
        <f>H34</f>
        <v>20</v>
      </c>
      <c r="J34" s="741">
        <f t="shared" ref="J34:L34" si="7">I34</f>
        <v>20</v>
      </c>
      <c r="K34" s="741">
        <f t="shared" si="7"/>
        <v>20</v>
      </c>
      <c r="L34" s="881">
        <f t="shared" si="7"/>
        <v>20</v>
      </c>
      <c r="M34" s="934"/>
    </row>
    <row r="35" spans="1:13" outlineLevel="1" x14ac:dyDescent="0.2">
      <c r="A35" s="934"/>
      <c r="B35" s="1373" t="s">
        <v>1228</v>
      </c>
      <c r="C35" s="741"/>
      <c r="D35" s="913">
        <v>2</v>
      </c>
      <c r="E35" s="887" t="s">
        <v>1009</v>
      </c>
      <c r="F35" s="741"/>
      <c r="G35" s="741"/>
      <c r="H35" s="741">
        <f>D35</f>
        <v>2</v>
      </c>
      <c r="I35" s="741">
        <f>H35</f>
        <v>2</v>
      </c>
      <c r="J35" s="741">
        <f t="shared" ref="J35:L35" si="8">I35</f>
        <v>2</v>
      </c>
      <c r="K35" s="741">
        <f t="shared" si="8"/>
        <v>2</v>
      </c>
      <c r="L35" s="881">
        <f t="shared" si="8"/>
        <v>2</v>
      </c>
      <c r="M35" s="934"/>
    </row>
    <row r="36" spans="1:13" outlineLevel="1" x14ac:dyDescent="0.2">
      <c r="A36" s="934"/>
      <c r="B36" s="1373" t="s">
        <v>1227</v>
      </c>
      <c r="C36" s="741"/>
      <c r="D36" s="1212">
        <v>45</v>
      </c>
      <c r="E36" s="1089" t="s">
        <v>1218</v>
      </c>
      <c r="F36" s="741"/>
      <c r="G36" s="741"/>
      <c r="H36" s="741">
        <f>H$34*$D$36</f>
        <v>900</v>
      </c>
      <c r="I36" s="741">
        <f t="shared" ref="I36:L36" si="9">I$34*$D$36</f>
        <v>900</v>
      </c>
      <c r="J36" s="741">
        <f t="shared" si="9"/>
        <v>900</v>
      </c>
      <c r="K36" s="741">
        <f t="shared" si="9"/>
        <v>900</v>
      </c>
      <c r="L36" s="881">
        <f t="shared" si="9"/>
        <v>900</v>
      </c>
      <c r="M36" s="934"/>
    </row>
    <row r="37" spans="1:13" outlineLevel="1" x14ac:dyDescent="0.2">
      <c r="A37" s="934"/>
      <c r="B37" s="1373"/>
      <c r="C37" s="741"/>
      <c r="D37" s="741"/>
      <c r="E37" s="1089"/>
      <c r="F37" s="741"/>
      <c r="G37" s="741"/>
      <c r="H37" s="741"/>
      <c r="I37" s="741"/>
      <c r="J37" s="741"/>
      <c r="K37" s="741"/>
      <c r="L37" s="881"/>
      <c r="M37" s="934"/>
    </row>
    <row r="38" spans="1:13" outlineLevel="1" x14ac:dyDescent="0.2">
      <c r="A38" s="934"/>
      <c r="B38" s="883" t="s">
        <v>1232</v>
      </c>
      <c r="C38" s="741"/>
      <c r="D38" s="741"/>
      <c r="E38" s="1089"/>
      <c r="F38" s="741"/>
      <c r="G38" s="741"/>
      <c r="H38" s="741"/>
      <c r="I38" s="741"/>
      <c r="J38" s="741"/>
      <c r="K38" s="741"/>
      <c r="L38" s="881"/>
      <c r="M38" s="934"/>
    </row>
    <row r="39" spans="1:13" outlineLevel="1" x14ac:dyDescent="0.2">
      <c r="A39" s="934"/>
      <c r="B39" s="1373" t="s">
        <v>1229</v>
      </c>
      <c r="C39" s="741"/>
      <c r="D39" s="741"/>
      <c r="E39" s="1089"/>
      <c r="F39" s="741"/>
      <c r="G39" s="741"/>
      <c r="H39" s="741">
        <f>H34*H35</f>
        <v>40</v>
      </c>
      <c r="I39" s="741">
        <f>I34*I35</f>
        <v>40</v>
      </c>
      <c r="J39" s="741">
        <f>J34*J35</f>
        <v>40</v>
      </c>
      <c r="K39" s="741">
        <f>K34*K35</f>
        <v>40</v>
      </c>
      <c r="L39" s="881">
        <f>L34*L35</f>
        <v>40</v>
      </c>
      <c r="M39" s="934"/>
    </row>
    <row r="40" spans="1:13" outlineLevel="1" x14ac:dyDescent="0.2">
      <c r="A40" s="934"/>
      <c r="B40" s="1373" t="s">
        <v>1230</v>
      </c>
      <c r="C40" s="741"/>
      <c r="D40" s="741"/>
      <c r="E40" s="741"/>
      <c r="F40" s="741"/>
      <c r="G40" s="741"/>
      <c r="H40" s="1333">
        <f>H29*H30</f>
        <v>12</v>
      </c>
      <c r="I40" s="1333">
        <f>I29*I30</f>
        <v>12</v>
      </c>
      <c r="J40" s="1333">
        <f>J29*J30</f>
        <v>12</v>
      </c>
      <c r="K40" s="1333">
        <f>K29*K30</f>
        <v>12</v>
      </c>
      <c r="L40" s="1377">
        <f>L29*L30</f>
        <v>12</v>
      </c>
      <c r="M40" s="934"/>
    </row>
    <row r="41" spans="1:13" outlineLevel="1" x14ac:dyDescent="0.2">
      <c r="A41" s="934"/>
      <c r="B41" s="927" t="s">
        <v>1231</v>
      </c>
      <c r="C41" s="741"/>
      <c r="D41" s="741"/>
      <c r="E41" s="741"/>
      <c r="F41" s="741"/>
      <c r="G41" s="741"/>
      <c r="H41" s="904">
        <f>SUM(H39:H40)</f>
        <v>52</v>
      </c>
      <c r="I41" s="904">
        <f t="shared" ref="I41:L41" si="10">SUM(I39:I40)</f>
        <v>52</v>
      </c>
      <c r="J41" s="904">
        <f t="shared" si="10"/>
        <v>52</v>
      </c>
      <c r="K41" s="904">
        <f t="shared" si="10"/>
        <v>52</v>
      </c>
      <c r="L41" s="1015">
        <f t="shared" si="10"/>
        <v>52</v>
      </c>
      <c r="M41" s="934"/>
    </row>
    <row r="42" spans="1:13" outlineLevel="1" x14ac:dyDescent="0.2">
      <c r="A42" s="934"/>
      <c r="B42" s="1373"/>
      <c r="C42" s="741"/>
      <c r="D42" s="741"/>
      <c r="E42" s="741"/>
      <c r="F42" s="741"/>
      <c r="G42" s="741"/>
      <c r="H42" s="741"/>
      <c r="I42" s="741"/>
      <c r="J42" s="741"/>
      <c r="K42" s="741"/>
      <c r="L42" s="881"/>
      <c r="M42" s="934"/>
    </row>
    <row r="43" spans="1:13" outlineLevel="1" x14ac:dyDescent="0.2">
      <c r="A43" s="934"/>
      <c r="B43" s="1085" t="s">
        <v>1061</v>
      </c>
      <c r="C43" s="741"/>
      <c r="D43" s="741"/>
      <c r="E43" s="1086" t="s">
        <v>1305</v>
      </c>
      <c r="F43" s="741"/>
      <c r="G43" s="741"/>
      <c r="H43" s="976" t="e">
        <f>H44*H$17</f>
        <v>#REF!</v>
      </c>
      <c r="I43" s="976" t="e">
        <f t="shared" ref="I43:L43" si="11">I44*I$17</f>
        <v>#REF!</v>
      </c>
      <c r="J43" s="976" t="e">
        <f t="shared" si="11"/>
        <v>#REF!</v>
      </c>
      <c r="K43" s="976" t="e">
        <f t="shared" si="11"/>
        <v>#REF!</v>
      </c>
      <c r="L43" s="976" t="e">
        <f t="shared" si="11"/>
        <v>#REF!</v>
      </c>
      <c r="M43" s="934"/>
    </row>
    <row r="44" spans="1:13" outlineLevel="1" x14ac:dyDescent="0.2">
      <c r="A44" s="934"/>
      <c r="B44" s="1085" t="s">
        <v>1061</v>
      </c>
      <c r="C44" s="741"/>
      <c r="D44" s="741"/>
      <c r="E44" s="1086" t="s">
        <v>1060</v>
      </c>
      <c r="F44" s="741"/>
      <c r="G44" s="741"/>
      <c r="H44" s="1088" t="e">
        <f>Scenario!#REF!*H23</f>
        <v>#REF!</v>
      </c>
      <c r="I44" s="1088" t="e">
        <f>Scenario!#REF!*I23</f>
        <v>#REF!</v>
      </c>
      <c r="J44" s="1088" t="e">
        <f>Scenario!#REF!*J23</f>
        <v>#REF!</v>
      </c>
      <c r="K44" s="1088" t="e">
        <f>Scenario!#REF!*K23</f>
        <v>#REF!</v>
      </c>
      <c r="L44" s="1378" t="e">
        <f>Scenario!#REF!*L23</f>
        <v>#REF!</v>
      </c>
      <c r="M44" s="934"/>
    </row>
    <row r="45" spans="1:13" outlineLevel="1" x14ac:dyDescent="0.2">
      <c r="A45" s="934"/>
      <c r="B45" s="899" t="s">
        <v>1012</v>
      </c>
      <c r="C45" s="741"/>
      <c r="D45" s="741"/>
      <c r="E45" s="1086" t="s">
        <v>1062</v>
      </c>
      <c r="F45" s="741"/>
      <c r="G45" s="741"/>
      <c r="H45" s="982" t="e">
        <f>Scenario!#REF!</f>
        <v>#REF!</v>
      </c>
      <c r="I45" s="982" t="e">
        <f>Scenario!#REF!</f>
        <v>#REF!</v>
      </c>
      <c r="J45" s="982" t="e">
        <f>Scenario!#REF!</f>
        <v>#REF!</v>
      </c>
      <c r="K45" s="982" t="e">
        <f>Scenario!#REF!</f>
        <v>#REF!</v>
      </c>
      <c r="L45" s="1014" t="e">
        <f>Scenario!#REF!</f>
        <v>#REF!</v>
      </c>
      <c r="M45" s="934"/>
    </row>
    <row r="46" spans="1:13" outlineLevel="1" x14ac:dyDescent="0.2">
      <c r="A46" s="934"/>
      <c r="B46" s="899"/>
      <c r="C46" s="741"/>
      <c r="D46" s="741"/>
      <c r="E46" s="1086"/>
      <c r="F46" s="741"/>
      <c r="G46" s="741"/>
      <c r="H46" s="982"/>
      <c r="I46" s="982"/>
      <c r="J46" s="982"/>
      <c r="K46" s="982"/>
      <c r="L46" s="1014"/>
      <c r="M46" s="934"/>
    </row>
    <row r="47" spans="1:13" outlineLevel="1" x14ac:dyDescent="0.2">
      <c r="A47" s="934"/>
      <c r="B47" s="883" t="s">
        <v>1233</v>
      </c>
      <c r="C47" s="741"/>
      <c r="D47" s="741"/>
      <c r="E47" s="1086"/>
      <c r="F47" s="741"/>
      <c r="G47" s="741"/>
      <c r="H47" s="982"/>
      <c r="I47" s="982"/>
      <c r="J47" s="982"/>
      <c r="K47" s="982"/>
      <c r="L47" s="1014"/>
      <c r="M47" s="934"/>
    </row>
    <row r="48" spans="1:13" outlineLevel="1" x14ac:dyDescent="0.2">
      <c r="A48" s="934"/>
      <c r="B48" s="899" t="s">
        <v>1234</v>
      </c>
      <c r="C48" s="741"/>
      <c r="D48" s="913">
        <v>12</v>
      </c>
      <c r="E48" s="887" t="s">
        <v>1009</v>
      </c>
      <c r="F48" s="741"/>
      <c r="G48" s="741"/>
      <c r="H48" s="741">
        <f>D48</f>
        <v>12</v>
      </c>
      <c r="I48" s="741">
        <f>H48</f>
        <v>12</v>
      </c>
      <c r="J48" s="741">
        <f t="shared" ref="J48:L48" si="12">I48</f>
        <v>12</v>
      </c>
      <c r="K48" s="741">
        <f t="shared" si="12"/>
        <v>12</v>
      </c>
      <c r="L48" s="881">
        <f t="shared" si="12"/>
        <v>12</v>
      </c>
      <c r="M48" s="934"/>
    </row>
    <row r="49" spans="1:13" outlineLevel="1" x14ac:dyDescent="0.2">
      <c r="A49" s="934"/>
      <c r="B49" s="899" t="s">
        <v>1219</v>
      </c>
      <c r="C49" s="741"/>
      <c r="D49" s="913">
        <v>2</v>
      </c>
      <c r="E49" s="887" t="s">
        <v>1009</v>
      </c>
      <c r="F49" s="741"/>
      <c r="G49" s="741"/>
      <c r="H49" s="741">
        <f>D49</f>
        <v>2</v>
      </c>
      <c r="I49" s="741">
        <f>H49</f>
        <v>2</v>
      </c>
      <c r="J49" s="741">
        <f t="shared" ref="J49:L49" si="13">I49</f>
        <v>2</v>
      </c>
      <c r="K49" s="741">
        <f t="shared" si="13"/>
        <v>2</v>
      </c>
      <c r="L49" s="881">
        <f t="shared" si="13"/>
        <v>2</v>
      </c>
      <c r="M49" s="934"/>
    </row>
    <row r="50" spans="1:13" outlineLevel="1" x14ac:dyDescent="0.2">
      <c r="A50" s="934"/>
      <c r="B50" s="899" t="s">
        <v>1235</v>
      </c>
      <c r="C50" s="741"/>
      <c r="D50" s="1212">
        <v>28</v>
      </c>
      <c r="E50" s="1089" t="s">
        <v>1218</v>
      </c>
      <c r="F50" s="741"/>
      <c r="G50" s="741"/>
      <c r="H50" s="741"/>
      <c r="I50" s="741"/>
      <c r="J50" s="741"/>
      <c r="K50" s="741"/>
      <c r="L50" s="881"/>
      <c r="M50" s="934"/>
    </row>
    <row r="51" spans="1:13" outlineLevel="1" x14ac:dyDescent="0.2">
      <c r="A51" s="934"/>
      <c r="B51" s="916" t="s">
        <v>1242</v>
      </c>
      <c r="C51" s="741"/>
      <c r="D51" s="741"/>
      <c r="E51" s="887"/>
      <c r="F51" s="741"/>
      <c r="G51" s="741"/>
      <c r="H51" s="904">
        <f>H48*H49</f>
        <v>24</v>
      </c>
      <c r="I51" s="904">
        <f t="shared" ref="I51:L51" si="14">I48*I49</f>
        <v>24</v>
      </c>
      <c r="J51" s="904">
        <f t="shared" si="14"/>
        <v>24</v>
      </c>
      <c r="K51" s="904">
        <f t="shared" si="14"/>
        <v>24</v>
      </c>
      <c r="L51" s="1015">
        <f t="shared" si="14"/>
        <v>24</v>
      </c>
      <c r="M51" s="934"/>
    </row>
    <row r="52" spans="1:13" outlineLevel="1" x14ac:dyDescent="0.2">
      <c r="A52" s="934"/>
      <c r="B52" s="899"/>
      <c r="C52" s="741"/>
      <c r="D52" s="741"/>
      <c r="E52" s="1086"/>
      <c r="F52" s="741"/>
      <c r="G52" s="741"/>
      <c r="H52" s="982"/>
      <c r="I52" s="982"/>
      <c r="J52" s="982"/>
      <c r="K52" s="982"/>
      <c r="L52" s="1014"/>
      <c r="M52" s="934"/>
    </row>
    <row r="53" spans="1:13" outlineLevel="1" x14ac:dyDescent="0.2">
      <c r="A53" s="934"/>
      <c r="B53" s="899" t="s">
        <v>1236</v>
      </c>
      <c r="C53" s="741"/>
      <c r="D53" s="913">
        <v>100</v>
      </c>
      <c r="E53" s="1089" t="s">
        <v>1237</v>
      </c>
      <c r="F53" s="741"/>
      <c r="G53" s="741"/>
      <c r="H53" s="741">
        <f>$D$53*H23</f>
        <v>100</v>
      </c>
      <c r="I53" s="741">
        <f>$D$53*I23</f>
        <v>103</v>
      </c>
      <c r="J53" s="741">
        <f>$D$53*J23</f>
        <v>106.08999999999999</v>
      </c>
      <c r="K53" s="741">
        <f>$D$53*K23</f>
        <v>109.2727</v>
      </c>
      <c r="L53" s="881">
        <f>$D$53*L23</f>
        <v>112.55088100000002</v>
      </c>
      <c r="M53" s="934"/>
    </row>
    <row r="54" spans="1:13" outlineLevel="1" x14ac:dyDescent="0.2">
      <c r="A54" s="934"/>
      <c r="B54" s="899" t="s">
        <v>1238</v>
      </c>
      <c r="C54" s="741"/>
      <c r="D54" s="913">
        <v>20</v>
      </c>
      <c r="E54" s="887" t="s">
        <v>1009</v>
      </c>
      <c r="F54" s="741"/>
      <c r="G54" s="741"/>
      <c r="H54" s="897">
        <v>18</v>
      </c>
      <c r="I54" s="741">
        <f>D54</f>
        <v>20</v>
      </c>
      <c r="J54" s="741">
        <f>I54</f>
        <v>20</v>
      </c>
      <c r="K54" s="741">
        <f t="shared" ref="K54:L54" si="15">J54</f>
        <v>20</v>
      </c>
      <c r="L54" s="881">
        <f t="shared" si="15"/>
        <v>20</v>
      </c>
      <c r="M54" s="934"/>
    </row>
    <row r="55" spans="1:13" outlineLevel="1" x14ac:dyDescent="0.2">
      <c r="A55" s="934"/>
      <c r="B55" s="899"/>
      <c r="C55" s="741"/>
      <c r="D55" s="741"/>
      <c r="E55" s="1086"/>
      <c r="F55" s="741"/>
      <c r="G55" s="741"/>
      <c r="H55" s="982"/>
      <c r="I55" s="982"/>
      <c r="J55" s="982"/>
      <c r="K55" s="982"/>
      <c r="L55" s="1014"/>
      <c r="M55" s="934"/>
    </row>
    <row r="56" spans="1:13" outlineLevel="1" x14ac:dyDescent="0.2">
      <c r="A56" s="934"/>
      <c r="B56" s="899" t="s">
        <v>1064</v>
      </c>
      <c r="C56" s="741"/>
      <c r="D56" s="1087" t="str">
        <f>Projections!K4</f>
        <v>Realistický</v>
      </c>
      <c r="E56" s="1086"/>
      <c r="F56" s="741"/>
      <c r="G56" s="741"/>
      <c r="H56" s="902"/>
      <c r="I56" s="982"/>
      <c r="J56" s="982"/>
      <c r="K56" s="982"/>
      <c r="L56" s="1014"/>
      <c r="M56" s="934"/>
    </row>
    <row r="57" spans="1:13" outlineLevel="1" x14ac:dyDescent="0.2">
      <c r="A57" s="934"/>
      <c r="B57" s="916" t="s">
        <v>1153</v>
      </c>
      <c r="C57" s="741"/>
      <c r="D57" s="741"/>
      <c r="E57" s="1086"/>
      <c r="F57" s="741"/>
      <c r="G57" s="741"/>
      <c r="H57" s="902"/>
      <c r="I57" s="982"/>
      <c r="J57" s="982"/>
      <c r="K57" s="982"/>
      <c r="L57" s="1014"/>
      <c r="M57" s="934"/>
    </row>
    <row r="58" spans="1:13" outlineLevel="1" x14ac:dyDescent="0.2">
      <c r="A58" s="934"/>
      <c r="B58" s="1213" t="s">
        <v>1154</v>
      </c>
      <c r="C58" s="741"/>
      <c r="D58" s="1212">
        <v>0</v>
      </c>
      <c r="E58" s="1089" t="s">
        <v>1060</v>
      </c>
      <c r="F58" s="741"/>
      <c r="G58" s="741"/>
      <c r="H58" s="1214">
        <f>$D$58*H23</f>
        <v>0</v>
      </c>
      <c r="I58" s="1214">
        <f>$D$58*I23</f>
        <v>0</v>
      </c>
      <c r="J58" s="1214">
        <f>$D$58*J23</f>
        <v>0</v>
      </c>
      <c r="K58" s="1214">
        <f>$D$58*K23</f>
        <v>0</v>
      </c>
      <c r="L58" s="1219">
        <f>$D$58*L23</f>
        <v>0</v>
      </c>
      <c r="M58" s="934"/>
    </row>
    <row r="59" spans="1:13" ht="9.6" customHeight="1" outlineLevel="1" x14ac:dyDescent="0.2">
      <c r="A59" s="934"/>
      <c r="B59" s="1213" t="s">
        <v>1151</v>
      </c>
      <c r="C59" s="741"/>
      <c r="D59" s="1212">
        <v>0</v>
      </c>
      <c r="E59" s="1089" t="s">
        <v>1060</v>
      </c>
      <c r="F59" s="741"/>
      <c r="G59" s="741"/>
      <c r="H59" s="1214">
        <f>$D$59*H23</f>
        <v>0</v>
      </c>
      <c r="I59" s="1214">
        <f>$D$59*I23</f>
        <v>0</v>
      </c>
      <c r="J59" s="1214">
        <f>$D$59*J23</f>
        <v>0</v>
      </c>
      <c r="K59" s="1214">
        <f>$D$59*K23</f>
        <v>0</v>
      </c>
      <c r="L59" s="1219">
        <f>$D$59*L23</f>
        <v>0</v>
      </c>
      <c r="M59" s="934"/>
    </row>
    <row r="60" spans="1:13" ht="9.6" customHeight="1" outlineLevel="1" x14ac:dyDescent="0.2">
      <c r="A60" s="934"/>
      <c r="B60" s="1213" t="s">
        <v>1152</v>
      </c>
      <c r="C60" s="741"/>
      <c r="D60" s="1212">
        <v>0</v>
      </c>
      <c r="E60" s="1089" t="s">
        <v>1060</v>
      </c>
      <c r="F60" s="741"/>
      <c r="G60" s="741"/>
      <c r="H60" s="1214">
        <f>$D$60*H23</f>
        <v>0</v>
      </c>
      <c r="I60" s="1214">
        <f>$D$60*I23</f>
        <v>0</v>
      </c>
      <c r="J60" s="1214">
        <f>$D$60*J23</f>
        <v>0</v>
      </c>
      <c r="K60" s="1214">
        <f>$D$60*K23</f>
        <v>0</v>
      </c>
      <c r="L60" s="1219">
        <f>$D$60*L23</f>
        <v>0</v>
      </c>
      <c r="M60" s="934"/>
    </row>
    <row r="61" spans="1:13" ht="9.6" customHeight="1" outlineLevel="1" x14ac:dyDescent="0.2">
      <c r="A61" s="934"/>
      <c r="B61" s="899"/>
      <c r="C61" s="741"/>
      <c r="D61" s="741"/>
      <c r="E61" s="1086"/>
      <c r="F61" s="741"/>
      <c r="G61" s="741"/>
      <c r="H61" s="902"/>
      <c r="I61" s="982"/>
      <c r="J61" s="982"/>
      <c r="K61" s="982"/>
      <c r="L61" s="1014"/>
      <c r="M61" s="934"/>
    </row>
    <row r="62" spans="1:13" outlineLevel="1" x14ac:dyDescent="0.2">
      <c r="A62" s="934"/>
      <c r="B62" s="899" t="s">
        <v>1158</v>
      </c>
      <c r="C62" s="1089"/>
      <c r="D62" s="889">
        <v>8.5000000000000006E-2</v>
      </c>
      <c r="E62" s="1089" t="s">
        <v>1066</v>
      </c>
      <c r="F62" s="741"/>
      <c r="G62" s="741"/>
      <c r="H62" s="900">
        <f>D62</f>
        <v>8.5000000000000006E-2</v>
      </c>
      <c r="I62" s="900">
        <f>H62</f>
        <v>8.5000000000000006E-2</v>
      </c>
      <c r="J62" s="900">
        <f>I62</f>
        <v>8.5000000000000006E-2</v>
      </c>
      <c r="K62" s="900">
        <f t="shared" ref="K62:L62" si="16">J62</f>
        <v>8.5000000000000006E-2</v>
      </c>
      <c r="L62" s="1012">
        <f t="shared" si="16"/>
        <v>8.5000000000000006E-2</v>
      </c>
      <c r="M62" s="934"/>
    </row>
    <row r="63" spans="1:13" outlineLevel="1" x14ac:dyDescent="0.2">
      <c r="A63" s="934"/>
      <c r="B63" s="974" t="s">
        <v>1210</v>
      </c>
      <c r="C63" s="1089"/>
      <c r="D63" s="1089"/>
      <c r="E63" s="1089"/>
      <c r="F63" s="741"/>
      <c r="G63" s="741"/>
      <c r="H63" s="900"/>
      <c r="I63" s="900"/>
      <c r="J63" s="900"/>
      <c r="K63" s="900"/>
      <c r="L63" s="1012"/>
      <c r="M63" s="934"/>
    </row>
    <row r="64" spans="1:13" outlineLevel="1" x14ac:dyDescent="0.2">
      <c r="A64" s="934"/>
      <c r="B64" s="899"/>
      <c r="C64" s="741"/>
      <c r="D64" s="1089"/>
      <c r="E64" s="1089"/>
      <c r="F64" s="741"/>
      <c r="G64" s="741"/>
      <c r="H64" s="900"/>
      <c r="I64" s="900">
        <f>J77/J82</f>
        <v>0.76923076923076927</v>
      </c>
      <c r="J64" s="902"/>
      <c r="K64" s="900"/>
      <c r="L64" s="1012"/>
      <c r="M64" s="934"/>
    </row>
    <row r="65" spans="1:13" outlineLevel="1" x14ac:dyDescent="0.2">
      <c r="A65" s="934"/>
      <c r="B65" s="883" t="s">
        <v>1143</v>
      </c>
      <c r="C65" s="741"/>
      <c r="D65" s="1089"/>
      <c r="E65" s="1089"/>
      <c r="F65" s="741"/>
      <c r="G65" s="741"/>
      <c r="H65" s="900"/>
      <c r="I65" s="900"/>
      <c r="J65" s="902"/>
      <c r="K65" s="900"/>
      <c r="L65" s="1012"/>
      <c r="M65" s="934"/>
    </row>
    <row r="66" spans="1:13" outlineLevel="1" x14ac:dyDescent="0.2">
      <c r="A66" s="934"/>
      <c r="B66" s="899" t="s">
        <v>1144</v>
      </c>
      <c r="C66" s="741"/>
      <c r="D66" s="886">
        <v>2.2999999999999998</v>
      </c>
      <c r="E66" s="1089"/>
      <c r="F66" s="741"/>
      <c r="G66" s="741"/>
      <c r="H66" s="900"/>
      <c r="I66" s="900"/>
      <c r="J66" s="902"/>
      <c r="K66" s="900"/>
      <c r="L66" s="1012"/>
      <c r="M66" s="934"/>
    </row>
    <row r="67" spans="1:13" outlineLevel="1" x14ac:dyDescent="0.2">
      <c r="A67" s="934"/>
      <c r="B67" s="899" t="s">
        <v>1145</v>
      </c>
      <c r="C67" s="741"/>
      <c r="D67" s="1205">
        <v>0.52</v>
      </c>
      <c r="E67" s="1089"/>
      <c r="F67" s="741"/>
      <c r="G67" s="741"/>
      <c r="H67" s="900"/>
      <c r="I67" s="900"/>
      <c r="J67" s="902"/>
      <c r="K67" s="900"/>
      <c r="L67" s="1012"/>
      <c r="M67" s="934"/>
    </row>
    <row r="68" spans="1:13" outlineLevel="1" x14ac:dyDescent="0.2">
      <c r="A68" s="934"/>
      <c r="B68" s="899" t="s">
        <v>1146</v>
      </c>
      <c r="C68" s="741"/>
      <c r="D68" s="1089" t="s">
        <v>1216</v>
      </c>
      <c r="E68" s="1089"/>
      <c r="F68" s="741"/>
      <c r="G68" s="741"/>
      <c r="H68" s="904">
        <f>ROUNDUP((H77+H78)/$D$66,0)*$D$67</f>
        <v>10.4</v>
      </c>
      <c r="I68" s="904">
        <f t="shared" ref="I68:L68" si="17">ROUNDUP((I77+I78)/$D$66,0)*$D$67</f>
        <v>11.440000000000001</v>
      </c>
      <c r="J68" s="904">
        <f t="shared" si="17"/>
        <v>11.96</v>
      </c>
      <c r="K68" s="904">
        <f t="shared" si="17"/>
        <v>11.96</v>
      </c>
      <c r="L68" s="904">
        <f t="shared" si="17"/>
        <v>11.96</v>
      </c>
      <c r="M68" s="934"/>
    </row>
    <row r="69" spans="1:13" outlineLevel="1" x14ac:dyDescent="0.2">
      <c r="A69" s="934"/>
      <c r="B69" s="899" t="s">
        <v>1149</v>
      </c>
      <c r="C69" s="741"/>
      <c r="D69" s="1089"/>
      <c r="E69" s="1089"/>
      <c r="F69" s="741"/>
      <c r="G69" s="741"/>
      <c r="H69" s="904">
        <f>ROUNDUP((H77+H78)/$D$66,0)*(1-$D$67)</f>
        <v>9.6</v>
      </c>
      <c r="I69" s="904">
        <f t="shared" ref="I69:L69" si="18">ROUNDUP((I77+I78)/$D$66,0)*(1-$D$67)</f>
        <v>10.559999999999999</v>
      </c>
      <c r="J69" s="904">
        <f t="shared" si="18"/>
        <v>11.04</v>
      </c>
      <c r="K69" s="904">
        <f t="shared" si="18"/>
        <v>11.04</v>
      </c>
      <c r="L69" s="904">
        <f t="shared" si="18"/>
        <v>11.04</v>
      </c>
      <c r="M69" s="934"/>
    </row>
    <row r="70" spans="1:13" outlineLevel="1" x14ac:dyDescent="0.2">
      <c r="A70" s="934"/>
      <c r="B70" s="974" t="s">
        <v>1147</v>
      </c>
      <c r="C70" s="741"/>
      <c r="D70" s="1089"/>
      <c r="E70" s="1089"/>
      <c r="F70" s="741"/>
      <c r="G70" s="741"/>
      <c r="H70" s="1302">
        <f>SUM(H68:H69)</f>
        <v>20</v>
      </c>
      <c r="I70" s="1302">
        <f t="shared" ref="I70:L70" si="19">SUM(I68:I69)</f>
        <v>22</v>
      </c>
      <c r="J70" s="1302">
        <f t="shared" si="19"/>
        <v>23</v>
      </c>
      <c r="K70" s="1302">
        <f t="shared" si="19"/>
        <v>23</v>
      </c>
      <c r="L70" s="1302">
        <f t="shared" si="19"/>
        <v>23</v>
      </c>
      <c r="M70" s="934"/>
    </row>
    <row r="71" spans="1:13" outlineLevel="1" x14ac:dyDescent="0.2">
      <c r="A71" s="934"/>
      <c r="B71" s="1341" t="s">
        <v>1213</v>
      </c>
      <c r="C71" s="741"/>
      <c r="D71" s="1089"/>
      <c r="E71" s="1089"/>
      <c r="F71" s="741"/>
      <c r="G71" s="741"/>
      <c r="H71" s="1302"/>
      <c r="I71" s="900"/>
      <c r="J71" s="902"/>
      <c r="K71" s="900"/>
      <c r="L71" s="1012"/>
      <c r="M71" s="934"/>
    </row>
    <row r="72" spans="1:13" outlineLevel="1" x14ac:dyDescent="0.2">
      <c r="A72" s="934"/>
      <c r="B72" s="916" t="s">
        <v>1209</v>
      </c>
      <c r="C72" s="741"/>
      <c r="D72" s="1089"/>
      <c r="E72" s="1089"/>
      <c r="F72" s="741"/>
      <c r="G72" s="741"/>
      <c r="H72" s="741"/>
      <c r="I72" s="900"/>
      <c r="J72" s="902"/>
      <c r="K72" s="900"/>
      <c r="L72" s="1012"/>
      <c r="M72" s="934"/>
    </row>
    <row r="73" spans="1:13" outlineLevel="1" x14ac:dyDescent="0.2">
      <c r="A73" s="934"/>
      <c r="B73" s="899" t="s">
        <v>1208</v>
      </c>
      <c r="C73" s="741"/>
      <c r="D73" s="1340">
        <v>300</v>
      </c>
      <c r="E73" s="1089" t="s">
        <v>1186</v>
      </c>
      <c r="F73" s="741"/>
      <c r="G73" s="741"/>
      <c r="H73" s="741">
        <f>$D$73*H$23</f>
        <v>300</v>
      </c>
      <c r="I73" s="741">
        <f>$D$73*I$23</f>
        <v>309</v>
      </c>
      <c r="J73" s="741">
        <f>$D$73*J$23</f>
        <v>318.27</v>
      </c>
      <c r="K73" s="741">
        <f>$D$73*K$23</f>
        <v>327.81810000000002</v>
      </c>
      <c r="L73" s="881">
        <f>$D$73*L$23</f>
        <v>337.65264300000007</v>
      </c>
      <c r="M73" s="934"/>
    </row>
    <row r="74" spans="1:13" outlineLevel="1" x14ac:dyDescent="0.2">
      <c r="A74" s="934"/>
      <c r="B74" s="899"/>
      <c r="C74" s="741"/>
      <c r="D74" s="1089"/>
      <c r="E74" s="1089"/>
      <c r="F74" s="741"/>
      <c r="G74" s="741"/>
      <c r="H74" s="900"/>
      <c r="I74" s="900"/>
      <c r="J74" s="902"/>
      <c r="K74" s="900"/>
      <c r="L74" s="1012"/>
      <c r="M74" s="934"/>
    </row>
    <row r="75" spans="1:13" outlineLevel="1" x14ac:dyDescent="0.2">
      <c r="A75" s="934"/>
      <c r="B75" s="883" t="s">
        <v>1127</v>
      </c>
      <c r="C75" s="741"/>
      <c r="D75" s="1089"/>
      <c r="E75" s="1089"/>
      <c r="F75" s="741"/>
      <c r="G75" s="741"/>
      <c r="H75" s="900"/>
      <c r="I75" s="741"/>
      <c r="J75" s="902"/>
      <c r="K75" s="900"/>
      <c r="L75" s="1012"/>
      <c r="M75" s="934"/>
    </row>
    <row r="76" spans="1:13" outlineLevel="1" x14ac:dyDescent="0.2">
      <c r="A76" s="934"/>
      <c r="B76" s="1133" t="s">
        <v>1128</v>
      </c>
      <c r="C76" s="741"/>
      <c r="D76" s="1089"/>
      <c r="E76" s="1089"/>
      <c r="F76" s="741"/>
      <c r="G76" s="741"/>
      <c r="H76" s="897"/>
      <c r="I76" s="897"/>
      <c r="J76" s="897"/>
      <c r="K76" s="897"/>
      <c r="L76" s="983"/>
      <c r="M76" s="934"/>
    </row>
    <row r="77" spans="1:13" outlineLevel="1" x14ac:dyDescent="0.2">
      <c r="A77" s="934"/>
      <c r="B77" s="1169" t="s">
        <v>1129</v>
      </c>
      <c r="C77" s="741"/>
      <c r="D77" s="1089"/>
      <c r="E77" s="1089"/>
      <c r="F77" s="741"/>
      <c r="G77" s="741"/>
      <c r="H77" s="1093">
        <v>36</v>
      </c>
      <c r="I77" s="1093">
        <f>I39</f>
        <v>40</v>
      </c>
      <c r="J77" s="1093">
        <f>J39</f>
        <v>40</v>
      </c>
      <c r="K77" s="1093">
        <f>K39</f>
        <v>40</v>
      </c>
      <c r="L77" s="1113">
        <f>L39</f>
        <v>40</v>
      </c>
      <c r="M77" s="934"/>
    </row>
    <row r="78" spans="1:13" outlineLevel="1" x14ac:dyDescent="0.2">
      <c r="A78" s="934"/>
      <c r="B78" s="1169" t="s">
        <v>1130</v>
      </c>
      <c r="C78" s="741"/>
      <c r="D78" s="1089"/>
      <c r="E78" s="1089"/>
      <c r="F78" s="741"/>
      <c r="G78" s="741"/>
      <c r="H78" s="1093">
        <v>8</v>
      </c>
      <c r="I78" s="1093">
        <v>9</v>
      </c>
      <c r="J78" s="1093">
        <f>J40</f>
        <v>12</v>
      </c>
      <c r="K78" s="1093">
        <f>K40</f>
        <v>12</v>
      </c>
      <c r="L78" s="1113">
        <f>L40</f>
        <v>12</v>
      </c>
      <c r="M78" s="934"/>
    </row>
    <row r="79" spans="1:13" outlineLevel="1" x14ac:dyDescent="0.2">
      <c r="A79" s="934"/>
      <c r="B79" s="1169" t="s">
        <v>1131</v>
      </c>
      <c r="C79" s="741"/>
      <c r="D79" s="1089"/>
      <c r="E79" s="1089"/>
      <c r="F79" s="741"/>
      <c r="G79" s="741"/>
      <c r="H79" s="1093">
        <v>0</v>
      </c>
      <c r="I79" s="1093">
        <v>0</v>
      </c>
      <c r="J79" s="1093">
        <v>0</v>
      </c>
      <c r="K79" s="1093">
        <v>0</v>
      </c>
      <c r="L79" s="1113">
        <v>0</v>
      </c>
      <c r="M79" s="934"/>
    </row>
    <row r="80" spans="1:13" outlineLevel="1" x14ac:dyDescent="0.2">
      <c r="A80" s="934"/>
      <c r="B80" s="1169" t="s">
        <v>1132</v>
      </c>
      <c r="C80" s="741"/>
      <c r="D80" s="1089"/>
      <c r="E80" s="1089"/>
      <c r="F80" s="741"/>
      <c r="G80" s="741"/>
      <c r="H80" s="1093">
        <v>0</v>
      </c>
      <c r="I80" s="1093">
        <v>0</v>
      </c>
      <c r="J80" s="1093">
        <v>0</v>
      </c>
      <c r="K80" s="1093">
        <v>0</v>
      </c>
      <c r="L80" s="1113">
        <v>0</v>
      </c>
      <c r="M80" s="934"/>
    </row>
    <row r="81" spans="1:13" outlineLevel="1" x14ac:dyDescent="0.2">
      <c r="A81" s="934"/>
      <c r="B81" s="1215" t="s">
        <v>1155</v>
      </c>
      <c r="C81" s="741"/>
      <c r="D81" s="1089"/>
      <c r="E81" s="1089"/>
      <c r="F81" s="741"/>
      <c r="G81" s="741"/>
      <c r="H81" s="1093">
        <v>0</v>
      </c>
      <c r="I81" s="1093">
        <v>0</v>
      </c>
      <c r="J81" s="1093">
        <v>0</v>
      </c>
      <c r="K81" s="1093">
        <v>0</v>
      </c>
      <c r="L81" s="1113">
        <v>0</v>
      </c>
      <c r="M81" s="934"/>
    </row>
    <row r="82" spans="1:13" outlineLevel="1" x14ac:dyDescent="0.2">
      <c r="A82" s="934"/>
      <c r="B82" s="1169" t="s">
        <v>1133</v>
      </c>
      <c r="C82" s="741"/>
      <c r="D82" s="1089"/>
      <c r="E82" s="1089"/>
      <c r="F82" s="741"/>
      <c r="G82" s="741"/>
      <c r="H82" s="741">
        <f>SUM(H77:H81)</f>
        <v>44</v>
      </c>
      <c r="I82" s="741">
        <f t="shared" ref="I82:L82" si="20">SUM(I77:I81)</f>
        <v>49</v>
      </c>
      <c r="J82" s="741">
        <f t="shared" si="20"/>
        <v>52</v>
      </c>
      <c r="K82" s="741">
        <f t="shared" si="20"/>
        <v>52</v>
      </c>
      <c r="L82" s="881">
        <f t="shared" si="20"/>
        <v>52</v>
      </c>
      <c r="M82" s="934"/>
    </row>
    <row r="83" spans="1:13" outlineLevel="1" x14ac:dyDescent="0.2">
      <c r="A83" s="934"/>
      <c r="B83" s="1211" t="s">
        <v>1134</v>
      </c>
      <c r="C83" s="973"/>
      <c r="D83" s="1089"/>
      <c r="E83" s="1089"/>
      <c r="F83" s="973"/>
      <c r="G83" s="973"/>
      <c r="H83" s="973" t="e">
        <f>ROUNDDOWN(H41*H45,0)</f>
        <v>#REF!</v>
      </c>
      <c r="I83" s="973" t="e">
        <f>ROUNDDOWN(I41*I45,0)</f>
        <v>#REF!</v>
      </c>
      <c r="J83" s="973" t="e">
        <f>ROUNDDOWN(J41*J45,0)</f>
        <v>#REF!</v>
      </c>
      <c r="K83" s="973" t="e">
        <f>ROUNDDOWN(K41*K45,0)</f>
        <v>#REF!</v>
      </c>
      <c r="L83" s="1187" t="e">
        <f>ROUNDDOWN(L41*L45,0)</f>
        <v>#REF!</v>
      </c>
      <c r="M83" s="934"/>
    </row>
    <row r="84" spans="1:13" ht="12" outlineLevel="1" thickBot="1" x14ac:dyDescent="0.25">
      <c r="A84" s="934"/>
      <c r="B84" s="1216"/>
      <c r="C84" s="1217"/>
      <c r="D84" s="1217"/>
      <c r="E84" s="1217"/>
      <c r="F84" s="1217"/>
      <c r="G84" s="1217"/>
      <c r="H84" s="1218" t="e">
        <f>H82-H83</f>
        <v>#REF!</v>
      </c>
      <c r="I84" s="1218" t="e">
        <f t="shared" ref="I84:L84" si="21">I82-I83</f>
        <v>#REF!</v>
      </c>
      <c r="J84" s="1218" t="e">
        <f t="shared" si="21"/>
        <v>#REF!</v>
      </c>
      <c r="K84" s="1218" t="e">
        <f t="shared" si="21"/>
        <v>#REF!</v>
      </c>
      <c r="L84" s="1376" t="e">
        <f t="shared" si="21"/>
        <v>#REF!</v>
      </c>
      <c r="M84" s="934"/>
    </row>
    <row r="85" spans="1:13" x14ac:dyDescent="0.2">
      <c r="A85" s="934"/>
      <c r="B85" s="934"/>
      <c r="C85" s="934"/>
      <c r="D85" s="934"/>
      <c r="E85" s="934"/>
      <c r="F85" s="934"/>
      <c r="G85" s="1202"/>
      <c r="H85" s="1202"/>
      <c r="I85" s="1202"/>
      <c r="J85" s="934"/>
      <c r="K85" s="934"/>
      <c r="L85" s="934"/>
      <c r="M85" s="934"/>
    </row>
    <row r="86" spans="1:13" ht="19.5" customHeight="1" x14ac:dyDescent="0.2">
      <c r="A86" s="934"/>
      <c r="B86" s="862" t="s">
        <v>1303</v>
      </c>
      <c r="C86" s="863"/>
      <c r="D86" s="863"/>
      <c r="E86" s="864"/>
      <c r="F86" s="865"/>
      <c r="G86" s="1201"/>
      <c r="H86" s="1201"/>
      <c r="I86" s="1201"/>
      <c r="J86" s="865"/>
      <c r="K86" s="865"/>
      <c r="L86" s="865"/>
      <c r="M86" s="934"/>
    </row>
    <row r="87" spans="1:13" outlineLevel="1" x14ac:dyDescent="0.2">
      <c r="A87" s="934"/>
      <c r="B87" s="1111" t="s">
        <v>45</v>
      </c>
      <c r="C87" s="939"/>
      <c r="D87" s="939"/>
      <c r="E87" s="939"/>
      <c r="F87" s="939"/>
      <c r="G87" s="939"/>
      <c r="H87" s="972">
        <f>H2</f>
        <v>2030</v>
      </c>
      <c r="I87" s="972">
        <f>I2</f>
        <v>2031</v>
      </c>
      <c r="J87" s="972">
        <f>J2</f>
        <v>2032</v>
      </c>
      <c r="K87" s="972">
        <f>K2</f>
        <v>2033</v>
      </c>
      <c r="L87" s="1112">
        <f>L2</f>
        <v>2034</v>
      </c>
      <c r="M87" s="934"/>
    </row>
    <row r="88" spans="1:13" outlineLevel="1" x14ac:dyDescent="0.2">
      <c r="A88" s="934"/>
      <c r="B88" s="899" t="s">
        <v>1157</v>
      </c>
      <c r="C88" s="934"/>
      <c r="D88" s="934"/>
      <c r="E88" s="934"/>
      <c r="F88" s="934"/>
      <c r="G88" s="934"/>
      <c r="H88" s="741" t="e">
        <f>H$41*(H$44*H$17*H$16)*H$45</f>
        <v>#REF!</v>
      </c>
      <c r="I88" s="741" t="e">
        <f>I$41*(I$44*I$17*I$16)*I$45</f>
        <v>#REF!</v>
      </c>
      <c r="J88" s="741" t="e">
        <f>J$41*(J$44*J$17*J$16)*J$45</f>
        <v>#REF!</v>
      </c>
      <c r="K88" s="741" t="e">
        <f>K$41*(K$44*K$17*K$16)*K$45</f>
        <v>#REF!</v>
      </c>
      <c r="L88" s="881" t="e">
        <f>L$41*(L$44*L$17*L$16)*L$45</f>
        <v>#REF!</v>
      </c>
      <c r="M88" s="915" t="e">
        <f>I88/$I$93</f>
        <v>#REF!</v>
      </c>
    </row>
    <row r="89" spans="1:13" outlineLevel="1" x14ac:dyDescent="0.2">
      <c r="A89" s="934"/>
      <c r="B89" s="899" t="s">
        <v>1207</v>
      </c>
      <c r="C89" s="934"/>
      <c r="D89" s="934"/>
      <c r="E89" s="934"/>
      <c r="F89" s="934"/>
      <c r="G89" s="934"/>
      <c r="H89" s="741">
        <f>H$73*H$16</f>
        <v>3600</v>
      </c>
      <c r="I89" s="741">
        <f>I$73*I$16</f>
        <v>3708</v>
      </c>
      <c r="J89" s="741">
        <f>J$73*J$16</f>
        <v>3819.24</v>
      </c>
      <c r="K89" s="741">
        <f>K$73*K$16</f>
        <v>3933.8172000000004</v>
      </c>
      <c r="L89" s="881">
        <f>L$73*L$16</f>
        <v>4051.8317160000006</v>
      </c>
      <c r="M89" s="915" t="e">
        <f>I89/$I$93</f>
        <v>#REF!</v>
      </c>
    </row>
    <row r="90" spans="1:13" outlineLevel="1" x14ac:dyDescent="0.2">
      <c r="A90" s="934"/>
      <c r="B90" s="899" t="s">
        <v>1241</v>
      </c>
      <c r="C90" s="934"/>
      <c r="D90" s="934"/>
      <c r="E90" s="934"/>
      <c r="F90" s="934"/>
      <c r="G90" s="934"/>
      <c r="H90" s="741">
        <f>H$53*H$51*H$54*H$16</f>
        <v>518400</v>
      </c>
      <c r="I90" s="741">
        <f>I$53*I$51*I$54*I$16</f>
        <v>593280</v>
      </c>
      <c r="J90" s="741">
        <f>J$53*J$51*J$54*J$16</f>
        <v>611078.39999999991</v>
      </c>
      <c r="K90" s="741">
        <f>K$53*K$51*K$54*K$16</f>
        <v>629410.75199999998</v>
      </c>
      <c r="L90" s="881">
        <f>L$53*L$51*L$54*L$16</f>
        <v>648293.0745600001</v>
      </c>
      <c r="M90" s="915" t="e">
        <f>I90/$I$93</f>
        <v>#REF!</v>
      </c>
    </row>
    <row r="91" spans="1:13" outlineLevel="1" x14ac:dyDescent="0.2">
      <c r="A91" s="934"/>
      <c r="B91" s="899" t="s">
        <v>1243</v>
      </c>
      <c r="C91" s="934"/>
      <c r="D91" s="889">
        <v>6.5000000000000002E-2</v>
      </c>
      <c r="E91" s="1303" t="s">
        <v>1244</v>
      </c>
      <c r="F91" s="934"/>
      <c r="G91" s="934"/>
      <c r="H91" s="741" t="e">
        <f>$D$91*H88</f>
        <v>#REF!</v>
      </c>
      <c r="I91" s="741" t="e">
        <f t="shared" ref="I91:L91" si="22">$D$91*I88</f>
        <v>#REF!</v>
      </c>
      <c r="J91" s="741" t="e">
        <f t="shared" si="22"/>
        <v>#REF!</v>
      </c>
      <c r="K91" s="741" t="e">
        <f t="shared" si="22"/>
        <v>#REF!</v>
      </c>
      <c r="L91" s="881" t="e">
        <f t="shared" si="22"/>
        <v>#REF!</v>
      </c>
      <c r="M91" s="915" t="e">
        <f>I91/I93</f>
        <v>#REF!</v>
      </c>
    </row>
    <row r="92" spans="1:13" outlineLevel="1" x14ac:dyDescent="0.2">
      <c r="A92" s="934"/>
      <c r="B92" s="937"/>
      <c r="C92" s="934"/>
      <c r="D92" s="934"/>
      <c r="E92" s="934"/>
      <c r="F92" s="934"/>
      <c r="G92" s="934"/>
      <c r="H92" s="934"/>
      <c r="I92" s="934"/>
      <c r="J92" s="934"/>
      <c r="K92" s="934"/>
      <c r="L92" s="941"/>
      <c r="M92" s="934"/>
    </row>
    <row r="93" spans="1:13" outlineLevel="1" x14ac:dyDescent="0.2">
      <c r="A93" s="934"/>
      <c r="B93" s="944" t="s">
        <v>1019</v>
      </c>
      <c r="C93" s="934"/>
      <c r="D93" s="934"/>
      <c r="E93" s="934"/>
      <c r="F93" s="934"/>
      <c r="G93" s="934"/>
      <c r="H93" s="904" t="e">
        <f>SUM(H88:H91)</f>
        <v>#REF!</v>
      </c>
      <c r="I93" s="904" t="e">
        <f t="shared" ref="I93:L93" si="23">SUM(I88:I91)</f>
        <v>#REF!</v>
      </c>
      <c r="J93" s="904" t="e">
        <f t="shared" si="23"/>
        <v>#REF!</v>
      </c>
      <c r="K93" s="904" t="e">
        <f t="shared" si="23"/>
        <v>#REF!</v>
      </c>
      <c r="L93" s="1015" t="e">
        <f t="shared" si="23"/>
        <v>#REF!</v>
      </c>
      <c r="M93" s="934"/>
    </row>
    <row r="94" spans="1:13" ht="12" outlineLevel="1" thickBot="1" x14ac:dyDescent="0.25">
      <c r="A94" s="934"/>
      <c r="B94" s="1342"/>
      <c r="C94" s="1343"/>
      <c r="D94" s="1343"/>
      <c r="E94" s="1343"/>
      <c r="F94" s="1343"/>
      <c r="G94" s="1343"/>
      <c r="H94" s="1343"/>
      <c r="I94" s="1343"/>
      <c r="J94" s="1343"/>
      <c r="K94" s="1343"/>
      <c r="L94" s="1344"/>
      <c r="M94" s="934"/>
    </row>
    <row r="95" spans="1:13" x14ac:dyDescent="0.2">
      <c r="A95" s="934"/>
      <c r="B95" s="934"/>
      <c r="C95" s="934"/>
      <c r="D95" s="934"/>
      <c r="E95" s="934"/>
      <c r="F95" s="934"/>
      <c r="G95" s="934"/>
      <c r="H95" s="934"/>
      <c r="I95" s="934"/>
      <c r="J95" s="934"/>
      <c r="K95" s="934"/>
      <c r="L95" s="934"/>
      <c r="M95" s="934"/>
    </row>
    <row r="96" spans="1:13" ht="19.5" customHeight="1" x14ac:dyDescent="0.2">
      <c r="A96" s="934"/>
      <c r="B96" s="862" t="s">
        <v>48</v>
      </c>
      <c r="C96" s="863"/>
      <c r="D96" s="863"/>
      <c r="E96" s="864"/>
      <c r="F96" s="865"/>
      <c r="G96" s="865"/>
      <c r="H96" s="865"/>
      <c r="I96" s="865"/>
      <c r="J96" s="865"/>
      <c r="K96" s="865"/>
      <c r="L96" s="865"/>
      <c r="M96" s="934"/>
    </row>
    <row r="97" spans="1:13" outlineLevel="1" x14ac:dyDescent="0.2">
      <c r="A97" s="934"/>
      <c r="B97" s="893" t="s">
        <v>48</v>
      </c>
      <c r="C97" s="879"/>
      <c r="D97" s="879"/>
      <c r="E97" s="879"/>
      <c r="F97" s="879"/>
      <c r="G97" s="879"/>
      <c r="H97" s="879"/>
      <c r="I97" s="879"/>
      <c r="J97" s="879"/>
      <c r="K97" s="879"/>
      <c r="L97" s="880"/>
      <c r="M97" s="934"/>
    </row>
    <row r="98" spans="1:13" outlineLevel="1" x14ac:dyDescent="0.2">
      <c r="A98" s="934"/>
      <c r="B98" s="937" t="s">
        <v>1077</v>
      </c>
      <c r="C98" s="741"/>
      <c r="D98" s="1126">
        <v>40</v>
      </c>
      <c r="E98" s="1089" t="s">
        <v>1060</v>
      </c>
      <c r="F98" s="934"/>
      <c r="G98" s="934"/>
      <c r="H98" s="741">
        <f>(($D$98*H$23*H$41)*(H$17*H$16))+((H$51*$D$98*H$23)*(H$54*H$16))</f>
        <v>956160</v>
      </c>
      <c r="I98" s="741">
        <f>(($D$98*I$23*I$41)*(I$17*I$16))+((I$51*$D$98*I$23)*(I$54*I$16))</f>
        <v>1008576</v>
      </c>
      <c r="J98" s="741">
        <f>(($D$98*J$23*J$41)*(J$17*J$16))+((J$51*$D$98*J$23)*(J$54*J$16))</f>
        <v>1038833.28</v>
      </c>
      <c r="K98" s="741">
        <f>(($D$98*K$23*K$41)*(K$17*K$16))+((K$51*$D$98*K$23)*(K$54*K$16))</f>
        <v>1069998.2784</v>
      </c>
      <c r="L98" s="881">
        <f>(($D$98*L$23*L$41)*(L$17*L$16))+((L$51*$D$98*L$23)*(L$54*L$16))</f>
        <v>1102098.2267520002</v>
      </c>
      <c r="M98" s="934"/>
    </row>
    <row r="99" spans="1:13" outlineLevel="1" x14ac:dyDescent="0.2">
      <c r="A99" s="934"/>
      <c r="B99" s="937" t="s">
        <v>1156</v>
      </c>
      <c r="C99" s="934"/>
      <c r="D99" s="889">
        <v>0.03</v>
      </c>
      <c r="E99" s="1303" t="s">
        <v>1080</v>
      </c>
      <c r="F99" s="934"/>
      <c r="G99" s="934"/>
      <c r="H99" s="741" t="e">
        <f>$D99*H93</f>
        <v>#REF!</v>
      </c>
      <c r="I99" s="741" t="e">
        <f>$D99*I93</f>
        <v>#REF!</v>
      </c>
      <c r="J99" s="741" t="e">
        <f>$D99*J93</f>
        <v>#REF!</v>
      </c>
      <c r="K99" s="741" t="e">
        <f>$D99*K93</f>
        <v>#REF!</v>
      </c>
      <c r="L99" s="881" t="e">
        <f>$D99*L93</f>
        <v>#REF!</v>
      </c>
      <c r="M99" s="934"/>
    </row>
    <row r="100" spans="1:13" outlineLevel="1" x14ac:dyDescent="0.2">
      <c r="A100" s="934"/>
      <c r="B100" s="937" t="s">
        <v>1169</v>
      </c>
      <c r="C100" s="934"/>
      <c r="D100" s="889">
        <v>0.02</v>
      </c>
      <c r="E100" s="1303" t="s">
        <v>1080</v>
      </c>
      <c r="F100" s="934"/>
      <c r="G100" s="934"/>
      <c r="H100" s="741" t="e">
        <f>$D$100*H$93</f>
        <v>#REF!</v>
      </c>
      <c r="I100" s="741" t="e">
        <f t="shared" ref="I100:L100" si="24">$D$100*I$93</f>
        <v>#REF!</v>
      </c>
      <c r="J100" s="741" t="e">
        <f t="shared" si="24"/>
        <v>#REF!</v>
      </c>
      <c r="K100" s="741" t="e">
        <f t="shared" si="24"/>
        <v>#REF!</v>
      </c>
      <c r="L100" s="881" t="e">
        <f t="shared" si="24"/>
        <v>#REF!</v>
      </c>
      <c r="M100" s="934"/>
    </row>
    <row r="101" spans="1:13" outlineLevel="1" x14ac:dyDescent="0.2">
      <c r="A101" s="934"/>
      <c r="B101" s="937" t="s">
        <v>1159</v>
      </c>
      <c r="C101" s="934"/>
      <c r="D101" s="889">
        <v>0.35</v>
      </c>
      <c r="E101" s="1303" t="s">
        <v>1160</v>
      </c>
      <c r="F101" s="934"/>
      <c r="G101" s="934"/>
      <c r="H101" s="741" t="e">
        <f>$D$101*H91</f>
        <v>#REF!</v>
      </c>
      <c r="I101" s="741" t="e">
        <f t="shared" ref="I101:K101" si="25">$D$101*I91</f>
        <v>#REF!</v>
      </c>
      <c r="J101" s="741" t="e">
        <f t="shared" si="25"/>
        <v>#REF!</v>
      </c>
      <c r="K101" s="741" t="e">
        <f t="shared" si="25"/>
        <v>#REF!</v>
      </c>
      <c r="L101" s="881" t="e">
        <f>$D$101*L91</f>
        <v>#REF!</v>
      </c>
      <c r="M101" s="934"/>
    </row>
    <row r="102" spans="1:13" outlineLevel="1" x14ac:dyDescent="0.2">
      <c r="A102" s="934"/>
      <c r="B102" s="937"/>
      <c r="C102" s="934"/>
      <c r="D102" s="934"/>
      <c r="E102" s="934"/>
      <c r="F102" s="934"/>
      <c r="G102" s="934"/>
      <c r="H102" s="934"/>
      <c r="I102" s="934"/>
      <c r="J102" s="934"/>
      <c r="K102" s="934"/>
      <c r="L102" s="941"/>
      <c r="M102" s="934"/>
    </row>
    <row r="103" spans="1:13" outlineLevel="1" x14ac:dyDescent="0.2">
      <c r="A103" s="934"/>
      <c r="B103" s="944" t="s">
        <v>1030</v>
      </c>
      <c r="C103" s="934"/>
      <c r="D103" s="934"/>
      <c r="E103" s="934"/>
      <c r="F103" s="934"/>
      <c r="G103" s="934"/>
      <c r="H103" s="904" t="e">
        <f>SUM(H98:H101)</f>
        <v>#REF!</v>
      </c>
      <c r="I103" s="904" t="e">
        <f>SUM(I98:I101)</f>
        <v>#REF!</v>
      </c>
      <c r="J103" s="904" t="e">
        <f>SUM(J98:J101)</f>
        <v>#REF!</v>
      </c>
      <c r="K103" s="904" t="e">
        <f>SUM(K98:K101)</f>
        <v>#REF!</v>
      </c>
      <c r="L103" s="1015" t="e">
        <f>SUM(L98:L101)</f>
        <v>#REF!</v>
      </c>
      <c r="M103" s="934"/>
    </row>
    <row r="104" spans="1:13" ht="12" outlineLevel="1" thickBot="1" x14ac:dyDescent="0.25">
      <c r="A104" s="934"/>
      <c r="B104" s="1222"/>
      <c r="C104" s="1223"/>
      <c r="D104" s="1223"/>
      <c r="E104" s="1223"/>
      <c r="F104" s="1223"/>
      <c r="G104" s="1223"/>
      <c r="H104" s="1223"/>
      <c r="I104" s="1223"/>
      <c r="J104" s="1223"/>
      <c r="K104" s="1223"/>
      <c r="L104" s="1224"/>
      <c r="M104" s="934"/>
    </row>
    <row r="105" spans="1:13" x14ac:dyDescent="0.2">
      <c r="A105" s="934"/>
      <c r="B105" s="934"/>
      <c r="C105" s="934"/>
      <c r="D105" s="934"/>
      <c r="E105" s="934"/>
      <c r="F105" s="934"/>
      <c r="G105" s="934"/>
      <c r="H105" s="934"/>
      <c r="I105" s="934"/>
      <c r="J105" s="934"/>
      <c r="K105" s="934"/>
      <c r="L105" s="934"/>
      <c r="M105" s="934"/>
    </row>
    <row r="106" spans="1:13" ht="19.5" customHeight="1" x14ac:dyDescent="0.2">
      <c r="A106" s="934"/>
      <c r="B106" s="862" t="s">
        <v>59</v>
      </c>
      <c r="C106" s="863"/>
      <c r="D106" s="863"/>
      <c r="E106" s="864"/>
      <c r="F106" s="865"/>
      <c r="G106" s="865"/>
      <c r="H106" s="865"/>
      <c r="I106" s="865"/>
      <c r="J106" s="865"/>
      <c r="K106" s="865"/>
      <c r="L106" s="865"/>
      <c r="M106" s="934"/>
    </row>
    <row r="107" spans="1:13" outlineLevel="1" x14ac:dyDescent="0.2">
      <c r="A107" s="934"/>
      <c r="B107" s="1111" t="s">
        <v>1021</v>
      </c>
      <c r="C107" s="939"/>
      <c r="D107" s="939"/>
      <c r="E107" s="939"/>
      <c r="F107" s="939"/>
      <c r="G107" s="939"/>
      <c r="H107" s="939"/>
      <c r="I107" s="939"/>
      <c r="J107" s="939"/>
      <c r="K107" s="939"/>
      <c r="L107" s="940"/>
      <c r="M107" s="934"/>
    </row>
    <row r="108" spans="1:13" outlineLevel="1" x14ac:dyDescent="0.2">
      <c r="A108" s="934"/>
      <c r="B108" s="927" t="s">
        <v>1067</v>
      </c>
      <c r="C108" s="1090"/>
      <c r="D108" s="1091"/>
      <c r="E108" s="1092"/>
      <c r="F108" s="1093"/>
      <c r="G108" s="1093"/>
      <c r="H108" s="1093"/>
      <c r="I108" s="1093"/>
      <c r="J108" s="1093"/>
      <c r="K108" s="1093"/>
      <c r="L108" s="941"/>
      <c r="M108" s="934"/>
    </row>
    <row r="109" spans="1:13" outlineLevel="1" x14ac:dyDescent="0.2">
      <c r="A109" s="934"/>
      <c r="B109" s="1085" t="s">
        <v>1059</v>
      </c>
      <c r="C109" s="1090"/>
      <c r="D109" s="1091"/>
      <c r="E109" s="1092" t="s">
        <v>1009</v>
      </c>
      <c r="F109" s="934"/>
      <c r="G109" s="934"/>
      <c r="H109" s="1093">
        <v>1</v>
      </c>
      <c r="I109" s="1093">
        <v>1</v>
      </c>
      <c r="J109" s="1093">
        <v>1</v>
      </c>
      <c r="K109" s="1093">
        <v>1</v>
      </c>
      <c r="L109" s="1113">
        <v>1</v>
      </c>
      <c r="M109" s="1093"/>
    </row>
    <row r="110" spans="1:13" outlineLevel="1" x14ac:dyDescent="0.2">
      <c r="A110" s="934"/>
      <c r="B110" s="1085" t="s">
        <v>1068</v>
      </c>
      <c r="C110" s="1090"/>
      <c r="D110" s="913">
        <v>2500</v>
      </c>
      <c r="E110" s="1092" t="s">
        <v>1069</v>
      </c>
      <c r="F110" s="934"/>
      <c r="G110" s="934"/>
      <c r="H110" s="1094">
        <f>$D$110*H16*H109</f>
        <v>30000</v>
      </c>
      <c r="I110" s="1094">
        <f>$D$110*I16*I109*I23</f>
        <v>30900</v>
      </c>
      <c r="J110" s="1094">
        <f>$D$110*J16*J109*J23</f>
        <v>31827</v>
      </c>
      <c r="K110" s="1094">
        <f>$D$110*K16*K109*K23</f>
        <v>32781.81</v>
      </c>
      <c r="L110" s="1114">
        <f>$D$110*L16*L109*L23</f>
        <v>33765.264300000003</v>
      </c>
      <c r="M110" s="1094"/>
    </row>
    <row r="111" spans="1:13" outlineLevel="1" x14ac:dyDescent="0.2">
      <c r="A111" s="934"/>
      <c r="B111" s="927" t="s">
        <v>1070</v>
      </c>
      <c r="C111" s="1090"/>
      <c r="D111" s="1091"/>
      <c r="E111" s="1092"/>
      <c r="F111" s="1093"/>
      <c r="G111" s="1093"/>
      <c r="H111" s="1093"/>
      <c r="I111" s="1093"/>
      <c r="J111" s="1093"/>
      <c r="K111" s="1093"/>
      <c r="L111" s="941"/>
      <c r="M111" s="934"/>
    </row>
    <row r="112" spans="1:13" outlineLevel="1" x14ac:dyDescent="0.2">
      <c r="A112" s="934"/>
      <c r="B112" s="1085" t="s">
        <v>1059</v>
      </c>
      <c r="C112" s="1090"/>
      <c r="D112" s="1091"/>
      <c r="E112" s="1092" t="s">
        <v>1009</v>
      </c>
      <c r="F112" s="934"/>
      <c r="G112" s="934"/>
      <c r="H112" s="1093">
        <v>1</v>
      </c>
      <c r="I112" s="1093">
        <v>1</v>
      </c>
      <c r="J112" s="1093">
        <v>1</v>
      </c>
      <c r="K112" s="1093">
        <v>1</v>
      </c>
      <c r="L112" s="1113">
        <v>1</v>
      </c>
      <c r="M112" s="934"/>
    </row>
    <row r="113" spans="1:13" outlineLevel="1" x14ac:dyDescent="0.2">
      <c r="A113" s="934"/>
      <c r="B113" s="1085" t="s">
        <v>1068</v>
      </c>
      <c r="C113" s="1090"/>
      <c r="D113" s="913">
        <v>1300</v>
      </c>
      <c r="E113" s="1092" t="s">
        <v>1069</v>
      </c>
      <c r="F113" s="934"/>
      <c r="G113" s="934"/>
      <c r="H113" s="1094">
        <f>$D$113*H112*H16</f>
        <v>15600</v>
      </c>
      <c r="I113" s="1094">
        <f>$D$113*I112*I23*I16</f>
        <v>16068</v>
      </c>
      <c r="J113" s="1094">
        <f>$D$113*J112*J23*J16</f>
        <v>16550.039999999997</v>
      </c>
      <c r="K113" s="1094">
        <f>$D$113*K112*K23*K16</f>
        <v>17046.5412</v>
      </c>
      <c r="L113" s="1114">
        <f>$D$113*L112*L23*L16</f>
        <v>17557.937436</v>
      </c>
      <c r="M113" s="934"/>
    </row>
    <row r="114" spans="1:13" outlineLevel="1" x14ac:dyDescent="0.2">
      <c r="A114" s="934"/>
      <c r="B114" s="927" t="s">
        <v>1307</v>
      </c>
      <c r="C114" s="1090"/>
      <c r="D114" s="1090"/>
      <c r="E114" s="1092"/>
      <c r="F114" s="934"/>
      <c r="G114" s="934"/>
      <c r="H114" s="1094"/>
      <c r="I114" s="1094"/>
      <c r="J114" s="1094"/>
      <c r="K114" s="1094"/>
      <c r="L114" s="1114"/>
      <c r="M114" s="934"/>
    </row>
    <row r="115" spans="1:13" outlineLevel="1" x14ac:dyDescent="0.2">
      <c r="A115" s="934"/>
      <c r="B115" s="1085" t="s">
        <v>1059</v>
      </c>
      <c r="C115" s="1090"/>
      <c r="D115" s="1090"/>
      <c r="E115" s="1092" t="s">
        <v>1009</v>
      </c>
      <c r="F115" s="934"/>
      <c r="G115" s="934"/>
      <c r="H115" s="1093">
        <v>1</v>
      </c>
      <c r="I115" s="1093">
        <v>2</v>
      </c>
      <c r="J115" s="1093">
        <v>2</v>
      </c>
      <c r="K115" s="1093">
        <v>2</v>
      </c>
      <c r="L115" s="1113">
        <v>2</v>
      </c>
      <c r="M115" s="934"/>
    </row>
    <row r="116" spans="1:13" outlineLevel="1" x14ac:dyDescent="0.2">
      <c r="A116" s="934"/>
      <c r="B116" s="1085" t="s">
        <v>1068</v>
      </c>
      <c r="C116" s="1090"/>
      <c r="D116" s="913">
        <v>1300</v>
      </c>
      <c r="E116" s="1092" t="s">
        <v>1069</v>
      </c>
      <c r="F116" s="934"/>
      <c r="G116" s="934"/>
      <c r="H116" s="1094">
        <f>$D116*H115*H$16</f>
        <v>15600</v>
      </c>
      <c r="I116" s="1094">
        <f>$D116*I115*I$16</f>
        <v>31200</v>
      </c>
      <c r="J116" s="1094">
        <f t="shared" ref="J116:L116" si="26">$D116*J115*J$16</f>
        <v>31200</v>
      </c>
      <c r="K116" s="1094">
        <f t="shared" si="26"/>
        <v>31200</v>
      </c>
      <c r="L116" s="1114">
        <f t="shared" si="26"/>
        <v>31200</v>
      </c>
      <c r="M116" s="934"/>
    </row>
    <row r="117" spans="1:13" outlineLevel="1" x14ac:dyDescent="0.2">
      <c r="A117" s="934"/>
      <c r="B117" s="927" t="s">
        <v>1217</v>
      </c>
      <c r="C117" s="1090"/>
      <c r="D117" s="1090"/>
      <c r="E117" s="1092"/>
      <c r="F117" s="934"/>
      <c r="G117" s="934"/>
      <c r="H117" s="1094"/>
      <c r="I117" s="1094"/>
      <c r="J117" s="1094"/>
      <c r="K117" s="1094"/>
      <c r="L117" s="1114"/>
      <c r="M117" s="934"/>
    </row>
    <row r="118" spans="1:13" outlineLevel="1" x14ac:dyDescent="0.2">
      <c r="A118" s="934"/>
      <c r="B118" s="1085" t="s">
        <v>1059</v>
      </c>
      <c r="C118" s="1090"/>
      <c r="D118" s="1090"/>
      <c r="E118" s="1092" t="s">
        <v>1009</v>
      </c>
      <c r="F118" s="934"/>
      <c r="G118" s="934"/>
      <c r="H118" s="1093">
        <v>1</v>
      </c>
      <c r="I118" s="1093">
        <v>1</v>
      </c>
      <c r="J118" s="1093">
        <v>1</v>
      </c>
      <c r="K118" s="1093">
        <v>1</v>
      </c>
      <c r="L118" s="1113">
        <v>1</v>
      </c>
      <c r="M118" s="934"/>
    </row>
    <row r="119" spans="1:13" outlineLevel="1" x14ac:dyDescent="0.2">
      <c r="A119" s="934"/>
      <c r="B119" s="1085" t="s">
        <v>1068</v>
      </c>
      <c r="C119" s="1090"/>
      <c r="D119" s="913">
        <v>2200</v>
      </c>
      <c r="E119" s="1092" t="s">
        <v>1069</v>
      </c>
      <c r="F119" s="934"/>
      <c r="G119" s="934"/>
      <c r="H119" s="1094">
        <f>$D119*H118*H$16</f>
        <v>26400</v>
      </c>
      <c r="I119" s="1094">
        <f t="shared" ref="I119:L119" si="27">$D119*I118*I$16</f>
        <v>26400</v>
      </c>
      <c r="J119" s="1094">
        <f t="shared" si="27"/>
        <v>26400</v>
      </c>
      <c r="K119" s="1094">
        <f t="shared" si="27"/>
        <v>26400</v>
      </c>
      <c r="L119" s="1114">
        <f t="shared" si="27"/>
        <v>26400</v>
      </c>
      <c r="M119" s="934"/>
    </row>
    <row r="120" spans="1:13" outlineLevel="1" x14ac:dyDescent="0.2">
      <c r="A120" s="934"/>
      <c r="B120" s="927" t="s">
        <v>1162</v>
      </c>
      <c r="C120" s="1090"/>
      <c r="D120" s="1091"/>
      <c r="E120" s="1092"/>
      <c r="F120" s="1093"/>
      <c r="G120" s="1093"/>
      <c r="H120" s="1093"/>
      <c r="I120" s="1093"/>
      <c r="J120" s="1093"/>
      <c r="K120" s="1093"/>
      <c r="L120" s="941"/>
      <c r="M120" s="934"/>
    </row>
    <row r="121" spans="1:13" outlineLevel="1" x14ac:dyDescent="0.2">
      <c r="A121" s="934"/>
      <c r="B121" s="1085" t="s">
        <v>1059</v>
      </c>
      <c r="C121" s="1090"/>
      <c r="D121" s="1091"/>
      <c r="E121" s="1092" t="s">
        <v>1009</v>
      </c>
      <c r="F121" s="934"/>
      <c r="G121" s="934"/>
      <c r="H121" s="1093">
        <v>5</v>
      </c>
      <c r="I121" s="1093">
        <v>6</v>
      </c>
      <c r="J121" s="1093">
        <v>7</v>
      </c>
      <c r="K121" s="1093">
        <v>7</v>
      </c>
      <c r="L121" s="1113">
        <v>7</v>
      </c>
      <c r="M121" s="934"/>
    </row>
    <row r="122" spans="1:13" outlineLevel="1" x14ac:dyDescent="0.2">
      <c r="A122" s="934"/>
      <c r="B122" s="1085" t="s">
        <v>1068</v>
      </c>
      <c r="C122" s="1090"/>
      <c r="D122" s="913">
        <v>1100</v>
      </c>
      <c r="E122" s="1092" t="s">
        <v>1069</v>
      </c>
      <c r="F122" s="934"/>
      <c r="G122" s="934"/>
      <c r="H122" s="1094">
        <f>$D$122*H121*H16</f>
        <v>66000</v>
      </c>
      <c r="I122" s="1094">
        <f>$D$122*I121*I23*I16</f>
        <v>81576</v>
      </c>
      <c r="J122" s="1094">
        <f>$D$122*J121*J23*J16</f>
        <v>98027.159999999989</v>
      </c>
      <c r="K122" s="1094">
        <f>$D$122*K121*K23*K16</f>
        <v>100967.9748</v>
      </c>
      <c r="L122" s="1114">
        <f>$D$122*L121*L23*L16</f>
        <v>103997.01404400001</v>
      </c>
      <c r="M122" s="934"/>
    </row>
    <row r="123" spans="1:13" outlineLevel="1" x14ac:dyDescent="0.2">
      <c r="A123" s="934"/>
      <c r="B123" s="927" t="s">
        <v>1163</v>
      </c>
      <c r="C123" s="1090"/>
      <c r="D123" s="1091"/>
      <c r="E123" s="1092"/>
      <c r="F123" s="1093"/>
      <c r="G123" s="1093"/>
      <c r="H123" s="1093"/>
      <c r="I123" s="1093"/>
      <c r="J123" s="1093"/>
      <c r="K123" s="1093"/>
      <c r="L123" s="941"/>
      <c r="M123" s="934"/>
    </row>
    <row r="124" spans="1:13" outlineLevel="1" x14ac:dyDescent="0.2">
      <c r="A124" s="934"/>
      <c r="B124" s="1085" t="s">
        <v>1059</v>
      </c>
      <c r="C124" s="1090"/>
      <c r="D124" s="1091"/>
      <c r="E124" s="1092" t="s">
        <v>1009</v>
      </c>
      <c r="F124" s="934"/>
      <c r="G124" s="934"/>
      <c r="H124" s="1093">
        <v>1</v>
      </c>
      <c r="I124" s="1093">
        <v>2</v>
      </c>
      <c r="J124" s="1093">
        <v>2</v>
      </c>
      <c r="K124" s="1093">
        <v>2</v>
      </c>
      <c r="L124" s="1113">
        <v>2</v>
      </c>
      <c r="M124" s="934"/>
    </row>
    <row r="125" spans="1:13" outlineLevel="1" x14ac:dyDescent="0.2">
      <c r="A125" s="934"/>
      <c r="B125" s="1085" t="s">
        <v>1068</v>
      </c>
      <c r="C125" s="1090"/>
      <c r="D125" s="913">
        <v>1100</v>
      </c>
      <c r="E125" s="1092" t="s">
        <v>1069</v>
      </c>
      <c r="F125" s="934"/>
      <c r="G125" s="934"/>
      <c r="H125" s="1094">
        <f>$D$125*H124*H16</f>
        <v>13200</v>
      </c>
      <c r="I125" s="1094">
        <f>$D$125*I124*I16*I23</f>
        <v>27192</v>
      </c>
      <c r="J125" s="1094">
        <f>$D$125*J124*J16*J23</f>
        <v>28007.759999999998</v>
      </c>
      <c r="K125" s="1094">
        <f>$D$125*K124*K16*K23</f>
        <v>28847.9928</v>
      </c>
      <c r="L125" s="1114">
        <f>$D$125*L124*L16*L23</f>
        <v>29713.432584000002</v>
      </c>
      <c r="M125" s="934"/>
    </row>
    <row r="126" spans="1:13" outlineLevel="1" x14ac:dyDescent="0.2">
      <c r="A126" s="934"/>
      <c r="B126" s="927" t="s">
        <v>1221</v>
      </c>
      <c r="C126" s="1090"/>
      <c r="D126" s="1092"/>
      <c r="E126" s="1092"/>
      <c r="F126" s="934"/>
      <c r="G126" s="934"/>
      <c r="H126" s="1094"/>
      <c r="I126" s="1094"/>
      <c r="J126" s="1094"/>
      <c r="K126" s="1094"/>
      <c r="L126" s="1114"/>
      <c r="M126" s="934"/>
    </row>
    <row r="127" spans="1:13" outlineLevel="1" x14ac:dyDescent="0.2">
      <c r="A127" s="934"/>
      <c r="B127" s="1085" t="s">
        <v>1059</v>
      </c>
      <c r="C127" s="1090"/>
      <c r="D127" s="1092"/>
      <c r="E127" s="1092" t="s">
        <v>1009</v>
      </c>
      <c r="F127" s="934"/>
      <c r="G127" s="934"/>
      <c r="H127" s="1093">
        <v>1</v>
      </c>
      <c r="I127" s="1093">
        <v>1</v>
      </c>
      <c r="J127" s="1093">
        <v>1</v>
      </c>
      <c r="K127" s="1093">
        <v>1</v>
      </c>
      <c r="L127" s="1113">
        <v>1</v>
      </c>
      <c r="M127" s="934"/>
    </row>
    <row r="128" spans="1:13" outlineLevel="1" x14ac:dyDescent="0.2">
      <c r="A128" s="934"/>
      <c r="B128" s="1085" t="s">
        <v>1068</v>
      </c>
      <c r="C128" s="1090"/>
      <c r="D128" s="913">
        <v>2000</v>
      </c>
      <c r="E128" s="1092" t="s">
        <v>1069</v>
      </c>
      <c r="F128" s="934"/>
      <c r="G128" s="934"/>
      <c r="H128" s="1094">
        <f>$D128*H127*H$16</f>
        <v>24000</v>
      </c>
      <c r="I128" s="1094">
        <f t="shared" ref="I128:L128" si="28">$D128*I127*I$16</f>
        <v>24000</v>
      </c>
      <c r="J128" s="1094">
        <f t="shared" si="28"/>
        <v>24000</v>
      </c>
      <c r="K128" s="1094">
        <f t="shared" si="28"/>
        <v>24000</v>
      </c>
      <c r="L128" s="1114">
        <f t="shared" si="28"/>
        <v>24000</v>
      </c>
      <c r="M128" s="934"/>
    </row>
    <row r="129" spans="1:13" outlineLevel="1" x14ac:dyDescent="0.2">
      <c r="A129" s="934"/>
      <c r="B129" s="927" t="s">
        <v>1164</v>
      </c>
      <c r="C129" s="1090"/>
      <c r="D129" s="1091"/>
      <c r="E129" s="1092"/>
      <c r="F129" s="1093"/>
      <c r="G129" s="1093"/>
      <c r="H129" s="1093"/>
      <c r="I129" s="1093"/>
      <c r="J129" s="1093"/>
      <c r="K129" s="1093"/>
      <c r="L129" s="1113"/>
      <c r="M129" s="934"/>
    </row>
    <row r="130" spans="1:13" outlineLevel="1" x14ac:dyDescent="0.2">
      <c r="A130" s="934"/>
      <c r="B130" s="1085" t="s">
        <v>1059</v>
      </c>
      <c r="C130" s="1090"/>
      <c r="D130" s="1091"/>
      <c r="E130" s="1092" t="s">
        <v>1009</v>
      </c>
      <c r="F130" s="934"/>
      <c r="G130" s="934"/>
      <c r="H130" s="1093">
        <v>1</v>
      </c>
      <c r="I130" s="1093">
        <v>2</v>
      </c>
      <c r="J130" s="1093">
        <v>3</v>
      </c>
      <c r="K130" s="1093">
        <v>3</v>
      </c>
      <c r="L130" s="1113">
        <v>3</v>
      </c>
      <c r="M130" s="934"/>
    </row>
    <row r="131" spans="1:13" outlineLevel="1" x14ac:dyDescent="0.2">
      <c r="A131" s="934"/>
      <c r="B131" s="1085" t="s">
        <v>1068</v>
      </c>
      <c r="C131" s="1090"/>
      <c r="D131" s="913">
        <v>950</v>
      </c>
      <c r="E131" s="1092" t="s">
        <v>1069</v>
      </c>
      <c r="F131" s="934"/>
      <c r="G131" s="934"/>
      <c r="H131" s="1094">
        <f>H130*$D$131*H16</f>
        <v>11400</v>
      </c>
      <c r="I131" s="1094">
        <f>I130*$D$131*I16</f>
        <v>22800</v>
      </c>
      <c r="J131" s="1094">
        <f>J130*$D$131*J16</f>
        <v>34200</v>
      </c>
      <c r="K131" s="1094">
        <f>K130*$D$131*K16</f>
        <v>34200</v>
      </c>
      <c r="L131" s="1114">
        <f>L130*$D$131*L16</f>
        <v>34200</v>
      </c>
      <c r="M131" s="934"/>
    </row>
    <row r="132" spans="1:13" outlineLevel="1" x14ac:dyDescent="0.2">
      <c r="A132" s="934"/>
      <c r="B132" s="927" t="s">
        <v>1071</v>
      </c>
      <c r="C132" s="1090"/>
      <c r="D132" s="1091"/>
      <c r="E132" s="1092"/>
      <c r="F132" s="1093"/>
      <c r="G132" s="1093"/>
      <c r="H132" s="1093"/>
      <c r="I132" s="1093"/>
      <c r="J132" s="1093"/>
      <c r="K132" s="1093"/>
      <c r="L132" s="941"/>
      <c r="M132" s="934"/>
    </row>
    <row r="133" spans="1:13" outlineLevel="1" x14ac:dyDescent="0.2">
      <c r="A133" s="934"/>
      <c r="B133" s="1085" t="s">
        <v>1059</v>
      </c>
      <c r="C133" s="1090"/>
      <c r="D133" s="1091"/>
      <c r="E133" s="1092" t="s">
        <v>1009</v>
      </c>
      <c r="F133" s="934"/>
      <c r="G133" s="934"/>
      <c r="H133" s="1093">
        <v>2</v>
      </c>
      <c r="I133" s="1093">
        <v>2</v>
      </c>
      <c r="J133" s="1093">
        <v>2</v>
      </c>
      <c r="K133" s="1093">
        <v>2</v>
      </c>
      <c r="L133" s="1113">
        <v>2</v>
      </c>
      <c r="M133" s="934"/>
    </row>
    <row r="134" spans="1:13" outlineLevel="1" x14ac:dyDescent="0.2">
      <c r="A134" s="934"/>
      <c r="B134" s="1085" t="s">
        <v>1068</v>
      </c>
      <c r="C134" s="1090"/>
      <c r="D134" s="913">
        <v>1500</v>
      </c>
      <c r="E134" s="1092" t="s">
        <v>1069</v>
      </c>
      <c r="F134" s="934"/>
      <c r="G134" s="934"/>
      <c r="H134" s="1094">
        <f>$D$134*H133*H16</f>
        <v>36000</v>
      </c>
      <c r="I134" s="1094">
        <f>$D$134*I133*I23*I16</f>
        <v>37080</v>
      </c>
      <c r="J134" s="1094">
        <f>$D$134*J133*J23*J16</f>
        <v>38192.399999999994</v>
      </c>
      <c r="K134" s="1094">
        <f>$D$134*K133*K23*K16</f>
        <v>39338.171999999999</v>
      </c>
      <c r="L134" s="1114">
        <f>$D$134*L133*L23*L16</f>
        <v>40518.317160000006</v>
      </c>
      <c r="M134" s="934"/>
    </row>
    <row r="135" spans="1:13" outlineLevel="1" x14ac:dyDescent="0.2">
      <c r="A135" s="934"/>
      <c r="B135" s="927" t="s">
        <v>1211</v>
      </c>
      <c r="C135" s="1090"/>
      <c r="D135" s="1091"/>
      <c r="E135" s="1092"/>
      <c r="F135" s="934"/>
      <c r="G135" s="934"/>
      <c r="H135" s="1093"/>
      <c r="I135" s="1094"/>
      <c r="J135" s="1094"/>
      <c r="K135" s="1094"/>
      <c r="L135" s="1114"/>
      <c r="M135" s="934"/>
    </row>
    <row r="136" spans="1:13" outlineLevel="1" x14ac:dyDescent="0.2">
      <c r="A136" s="934"/>
      <c r="B136" s="1085" t="s">
        <v>1059</v>
      </c>
      <c r="C136" s="1090"/>
      <c r="D136" s="1091"/>
      <c r="E136" s="1092" t="s">
        <v>1009</v>
      </c>
      <c r="F136" s="934"/>
      <c r="G136" s="934"/>
      <c r="H136" s="1093">
        <v>2</v>
      </c>
      <c r="I136" s="1093">
        <v>2</v>
      </c>
      <c r="J136" s="1093">
        <v>2</v>
      </c>
      <c r="K136" s="1093">
        <v>2</v>
      </c>
      <c r="L136" s="1113">
        <v>2</v>
      </c>
      <c r="M136" s="934"/>
    </row>
    <row r="137" spans="1:13" outlineLevel="1" x14ac:dyDescent="0.2">
      <c r="A137" s="934"/>
      <c r="B137" s="1085" t="s">
        <v>1068</v>
      </c>
      <c r="C137" s="1090"/>
      <c r="D137" s="913">
        <v>950</v>
      </c>
      <c r="E137" s="1092" t="s">
        <v>1069</v>
      </c>
      <c r="F137" s="934"/>
      <c r="G137" s="934"/>
      <c r="H137" s="1094">
        <f>$D$137*H136*H$16</f>
        <v>22800</v>
      </c>
      <c r="I137" s="1094">
        <f>$D$137*I136*I$16</f>
        <v>22800</v>
      </c>
      <c r="J137" s="1094">
        <f>$D$137*J136*J$16</f>
        <v>22800</v>
      </c>
      <c r="K137" s="1094">
        <f>$D$137*K136*K$16</f>
        <v>22800</v>
      </c>
      <c r="L137" s="1114">
        <f>$D$137*L136*L$16</f>
        <v>22800</v>
      </c>
      <c r="M137" s="934"/>
    </row>
    <row r="138" spans="1:13" outlineLevel="1" x14ac:dyDescent="0.2">
      <c r="A138" s="934"/>
      <c r="B138" s="927" t="s">
        <v>1252</v>
      </c>
      <c r="C138" s="1090"/>
      <c r="D138" s="1092"/>
      <c r="E138" s="1092"/>
      <c r="F138" s="934"/>
      <c r="G138" s="934"/>
      <c r="H138" s="1094"/>
      <c r="I138" s="1094"/>
      <c r="J138" s="1094"/>
      <c r="K138" s="1094"/>
      <c r="L138" s="1114"/>
      <c r="M138" s="934"/>
    </row>
    <row r="139" spans="1:13" outlineLevel="1" x14ac:dyDescent="0.2">
      <c r="A139" s="934"/>
      <c r="B139" s="1085" t="s">
        <v>1059</v>
      </c>
      <c r="C139" s="1090"/>
      <c r="D139" s="1092"/>
      <c r="E139" s="1092" t="s">
        <v>1009</v>
      </c>
      <c r="F139" s="934"/>
      <c r="G139" s="934"/>
      <c r="H139" s="1093">
        <v>2</v>
      </c>
      <c r="I139" s="1093">
        <v>2</v>
      </c>
      <c r="J139" s="1093">
        <v>2</v>
      </c>
      <c r="K139" s="1093">
        <v>2</v>
      </c>
      <c r="L139" s="1113">
        <v>2</v>
      </c>
      <c r="M139" s="934"/>
    </row>
    <row r="140" spans="1:13" outlineLevel="1" x14ac:dyDescent="0.2">
      <c r="A140" s="934"/>
      <c r="B140" s="1085" t="s">
        <v>1068</v>
      </c>
      <c r="C140" s="1090"/>
      <c r="D140" s="913">
        <v>1100</v>
      </c>
      <c r="E140" s="1092" t="s">
        <v>1069</v>
      </c>
      <c r="F140" s="934"/>
      <c r="G140" s="934"/>
      <c r="H140" s="1094">
        <f>$D140*H139*H$16</f>
        <v>26400</v>
      </c>
      <c r="I140" s="1094">
        <f t="shared" ref="I140:L140" si="29">$D140*I139*I$16</f>
        <v>26400</v>
      </c>
      <c r="J140" s="1094">
        <f t="shared" si="29"/>
        <v>26400</v>
      </c>
      <c r="K140" s="1094">
        <f t="shared" si="29"/>
        <v>26400</v>
      </c>
      <c r="L140" s="1114">
        <f t="shared" si="29"/>
        <v>26400</v>
      </c>
      <c r="M140" s="934"/>
    </row>
    <row r="141" spans="1:13" ht="9.6" customHeight="1" outlineLevel="1" x14ac:dyDescent="0.2">
      <c r="A141" s="934"/>
      <c r="B141" s="927" t="s">
        <v>1165</v>
      </c>
      <c r="C141" s="1090"/>
      <c r="D141" s="1091"/>
      <c r="E141" s="1092"/>
      <c r="F141" s="1093"/>
      <c r="G141" s="1093"/>
      <c r="H141" s="1093"/>
      <c r="I141" s="1093"/>
      <c r="J141" s="1093"/>
      <c r="K141" s="1093"/>
      <c r="L141" s="941"/>
      <c r="M141" s="934"/>
    </row>
    <row r="142" spans="1:13" ht="9.6" customHeight="1" outlineLevel="1" x14ac:dyDescent="0.2">
      <c r="A142" s="934"/>
      <c r="B142" s="1085" t="s">
        <v>1059</v>
      </c>
      <c r="C142" s="1090"/>
      <c r="D142" s="1091"/>
      <c r="E142" s="1092" t="s">
        <v>1009</v>
      </c>
      <c r="F142" s="934"/>
      <c r="G142" s="934"/>
      <c r="H142" s="1093">
        <v>1</v>
      </c>
      <c r="I142" s="1093">
        <v>1</v>
      </c>
      <c r="J142" s="1093">
        <v>1</v>
      </c>
      <c r="K142" s="1093">
        <v>1</v>
      </c>
      <c r="L142" s="1113">
        <v>1</v>
      </c>
      <c r="M142" s="934"/>
    </row>
    <row r="143" spans="1:13" outlineLevel="1" x14ac:dyDescent="0.2">
      <c r="A143" s="934"/>
      <c r="B143" s="1085" t="s">
        <v>1068</v>
      </c>
      <c r="C143" s="1090"/>
      <c r="D143" s="913">
        <v>950</v>
      </c>
      <c r="E143" s="1092" t="s">
        <v>1069</v>
      </c>
      <c r="F143" s="934"/>
      <c r="G143" s="934"/>
      <c r="H143" s="1094">
        <f>$D$143*H142*H16</f>
        <v>11400</v>
      </c>
      <c r="I143" s="1094">
        <f>$D$143*I142*I16</f>
        <v>11400</v>
      </c>
      <c r="J143" s="1094">
        <f>$D$143*J142*J16</f>
        <v>11400</v>
      </c>
      <c r="K143" s="1094">
        <f>$D$143*K142*K16</f>
        <v>11400</v>
      </c>
      <c r="L143" s="1114">
        <f>$D$143*L142*L16</f>
        <v>11400</v>
      </c>
      <c r="M143" s="934"/>
    </row>
    <row r="144" spans="1:13" outlineLevel="1" x14ac:dyDescent="0.2">
      <c r="A144" s="934"/>
      <c r="B144" s="927" t="s">
        <v>1212</v>
      </c>
      <c r="C144" s="1090"/>
      <c r="D144" s="1091"/>
      <c r="E144" s="1092"/>
      <c r="F144" s="1093"/>
      <c r="G144" s="1093"/>
      <c r="H144" s="1093"/>
      <c r="I144" s="1093"/>
      <c r="J144" s="1093"/>
      <c r="K144" s="1093"/>
      <c r="L144" s="941"/>
      <c r="M144" s="934"/>
    </row>
    <row r="145" spans="1:13" outlineLevel="1" x14ac:dyDescent="0.2">
      <c r="A145" s="934"/>
      <c r="B145" s="1085" t="s">
        <v>1059</v>
      </c>
      <c r="C145" s="1090"/>
      <c r="D145" s="1091"/>
      <c r="E145" s="1092" t="s">
        <v>1009</v>
      </c>
      <c r="F145" s="934"/>
      <c r="G145" s="934"/>
      <c r="H145" s="1093">
        <v>2</v>
      </c>
      <c r="I145" s="1093">
        <v>3</v>
      </c>
      <c r="J145" s="1093">
        <v>3</v>
      </c>
      <c r="K145" s="1093">
        <v>3</v>
      </c>
      <c r="L145" s="1113">
        <v>3</v>
      </c>
      <c r="M145" s="934"/>
    </row>
    <row r="146" spans="1:13" outlineLevel="1" x14ac:dyDescent="0.2">
      <c r="A146" s="934"/>
      <c r="B146" s="1085" t="s">
        <v>1068</v>
      </c>
      <c r="C146" s="1090"/>
      <c r="D146" s="913">
        <v>800</v>
      </c>
      <c r="E146" s="1092" t="s">
        <v>1069</v>
      </c>
      <c r="F146" s="934"/>
      <c r="G146" s="934"/>
      <c r="H146" s="1094">
        <f>$D$146*H145*H16</f>
        <v>19200</v>
      </c>
      <c r="I146" s="1094">
        <f>$D$146*I145*I16</f>
        <v>28800</v>
      </c>
      <c r="J146" s="1094">
        <f>$D$146*J145*J16</f>
        <v>28800</v>
      </c>
      <c r="K146" s="1094">
        <f>$D$146*K145*K16</f>
        <v>28800</v>
      </c>
      <c r="L146" s="1114">
        <f>$D$146*L145*L16</f>
        <v>28800</v>
      </c>
      <c r="M146" s="934"/>
    </row>
    <row r="147" spans="1:13" outlineLevel="1" x14ac:dyDescent="0.2">
      <c r="A147" s="934"/>
      <c r="B147" s="937"/>
      <c r="C147" s="934"/>
      <c r="D147" s="934"/>
      <c r="E147" s="934"/>
      <c r="F147" s="934"/>
      <c r="G147" s="934"/>
      <c r="H147" s="934"/>
      <c r="I147" s="934"/>
      <c r="J147" s="934"/>
      <c r="K147" s="934"/>
      <c r="L147" s="941"/>
      <c r="M147" s="934"/>
    </row>
    <row r="148" spans="1:13" outlineLevel="1" x14ac:dyDescent="0.2">
      <c r="A148" s="934"/>
      <c r="B148" s="1220" t="s">
        <v>1161</v>
      </c>
      <c r="C148" s="934"/>
      <c r="D148" s="934"/>
      <c r="E148" s="934"/>
      <c r="F148" s="934"/>
      <c r="G148" s="934"/>
      <c r="H148" s="1121">
        <f>SUM(H109,H112,H121,H124,H130,H133,H136,H142,H145)</f>
        <v>16</v>
      </c>
      <c r="I148" s="1121">
        <f t="shared" ref="I148:L148" si="30">SUM(I109,I112,I121,I124,I130,I133,I136,I142,I145)</f>
        <v>20</v>
      </c>
      <c r="J148" s="1121">
        <f t="shared" si="30"/>
        <v>22</v>
      </c>
      <c r="K148" s="1121">
        <f t="shared" si="30"/>
        <v>22</v>
      </c>
      <c r="L148" s="1122">
        <f t="shared" si="30"/>
        <v>22</v>
      </c>
      <c r="M148" s="934"/>
    </row>
    <row r="149" spans="1:13" outlineLevel="1" x14ac:dyDescent="0.2">
      <c r="A149" s="934"/>
      <c r="B149" s="1382" t="s">
        <v>1253</v>
      </c>
      <c r="C149" s="934"/>
      <c r="D149" s="934"/>
      <c r="E149" s="934"/>
      <c r="F149" s="934"/>
      <c r="G149" s="934"/>
      <c r="H149" s="1121"/>
      <c r="I149" s="1121"/>
      <c r="J149" s="1121"/>
      <c r="K149" s="1121"/>
      <c r="L149" s="1122"/>
      <c r="M149" s="934"/>
    </row>
    <row r="150" spans="1:13" outlineLevel="1" x14ac:dyDescent="0.2">
      <c r="A150" s="934"/>
      <c r="B150" s="1383" t="s">
        <v>1306</v>
      </c>
      <c r="C150" s="934"/>
      <c r="D150" s="934"/>
      <c r="E150" s="934"/>
      <c r="F150" s="934"/>
      <c r="G150" s="934"/>
      <c r="H150" s="1121">
        <f>SUM(H109,H112,H115,H133,H136,H139,H142,H145)</f>
        <v>12</v>
      </c>
      <c r="I150" s="1121">
        <f t="shared" ref="I150:L150" si="31">SUM(I109,I112,I115,I133,I136,I139,I142,I145)</f>
        <v>14</v>
      </c>
      <c r="J150" s="1121">
        <f t="shared" si="31"/>
        <v>14</v>
      </c>
      <c r="K150" s="1121">
        <f t="shared" si="31"/>
        <v>14</v>
      </c>
      <c r="L150" s="1122">
        <f t="shared" si="31"/>
        <v>14</v>
      </c>
      <c r="M150" s="934"/>
    </row>
    <row r="151" spans="1:13" outlineLevel="1" x14ac:dyDescent="0.2">
      <c r="A151" s="934"/>
      <c r="B151" s="1383" t="s">
        <v>1254</v>
      </c>
      <c r="C151" s="934"/>
      <c r="D151" s="934"/>
      <c r="E151" s="934"/>
      <c r="F151" s="934"/>
      <c r="G151" s="934"/>
      <c r="H151" s="1121">
        <f>SUM(H118,H121,H124)</f>
        <v>7</v>
      </c>
      <c r="I151" s="1121">
        <f t="shared" ref="I151:L151" si="32">SUM(I118,I121,I124)</f>
        <v>9</v>
      </c>
      <c r="J151" s="1121">
        <f t="shared" si="32"/>
        <v>10</v>
      </c>
      <c r="K151" s="1121">
        <f t="shared" si="32"/>
        <v>10</v>
      </c>
      <c r="L151" s="1122">
        <f t="shared" si="32"/>
        <v>10</v>
      </c>
      <c r="M151" s="934"/>
    </row>
    <row r="152" spans="1:13" outlineLevel="1" x14ac:dyDescent="0.2">
      <c r="A152" s="934"/>
      <c r="B152" s="1383" t="s">
        <v>1255</v>
      </c>
      <c r="C152" s="934"/>
      <c r="D152" s="934"/>
      <c r="E152" s="934"/>
      <c r="F152" s="934"/>
      <c r="G152" s="934"/>
      <c r="H152" s="1384">
        <f>H130</f>
        <v>1</v>
      </c>
      <c r="I152" s="1384">
        <f t="shared" ref="I152:L152" si="33">I130</f>
        <v>2</v>
      </c>
      <c r="J152" s="1384">
        <f t="shared" si="33"/>
        <v>3</v>
      </c>
      <c r="K152" s="1384">
        <f t="shared" si="33"/>
        <v>3</v>
      </c>
      <c r="L152" s="1385">
        <f t="shared" si="33"/>
        <v>3</v>
      </c>
      <c r="M152" s="934"/>
    </row>
    <row r="153" spans="1:13" outlineLevel="1" x14ac:dyDescent="0.2">
      <c r="A153" s="934"/>
      <c r="B153" s="944" t="s">
        <v>1256</v>
      </c>
      <c r="C153" s="934"/>
      <c r="D153" s="934"/>
      <c r="E153" s="934"/>
      <c r="F153" s="934"/>
      <c r="G153" s="934"/>
      <c r="H153" s="1116">
        <f>SUM(H150:H152)</f>
        <v>20</v>
      </c>
      <c r="I153" s="1116">
        <f t="shared" ref="I153:L153" si="34">SUM(I150:I152)</f>
        <v>25</v>
      </c>
      <c r="J153" s="1116">
        <f t="shared" si="34"/>
        <v>27</v>
      </c>
      <c r="K153" s="1116">
        <f t="shared" si="34"/>
        <v>27</v>
      </c>
      <c r="L153" s="1117">
        <f t="shared" si="34"/>
        <v>27</v>
      </c>
      <c r="M153" s="934"/>
    </row>
    <row r="154" spans="1:13" outlineLevel="1" x14ac:dyDescent="0.2">
      <c r="A154" s="934"/>
      <c r="B154" s="937"/>
      <c r="C154" s="934"/>
      <c r="D154" s="934"/>
      <c r="E154" s="934"/>
      <c r="F154" s="934"/>
      <c r="G154" s="934"/>
      <c r="H154" s="934"/>
      <c r="I154" s="934"/>
      <c r="J154" s="934"/>
      <c r="K154" s="934"/>
      <c r="L154" s="941"/>
      <c r="M154" s="934"/>
    </row>
    <row r="155" spans="1:13" outlineLevel="1" x14ac:dyDescent="0.2">
      <c r="A155" s="934"/>
      <c r="B155" s="944" t="s">
        <v>1072</v>
      </c>
      <c r="C155" s="934"/>
      <c r="D155" s="934"/>
      <c r="E155" s="1115"/>
      <c r="F155" s="934"/>
      <c r="G155" s="934"/>
      <c r="H155" s="1116">
        <f>SUM(H110,H113,H116,H119,H122,H125,H128,H131,H134,H137,H140,H143,H146)</f>
        <v>318000</v>
      </c>
      <c r="I155" s="1116">
        <f t="shared" ref="I155:L155" si="35">SUM(I110,I113,I116,I119,I122,I125,I128,I131,I134,I137,I140,I143,I146)</f>
        <v>386616</v>
      </c>
      <c r="J155" s="1116">
        <f t="shared" si="35"/>
        <v>417804.36</v>
      </c>
      <c r="K155" s="1116">
        <f t="shared" si="35"/>
        <v>424182.49080000003</v>
      </c>
      <c r="L155" s="1117">
        <f t="shared" si="35"/>
        <v>430751.965524</v>
      </c>
      <c r="M155" s="934"/>
    </row>
    <row r="156" spans="1:13" outlineLevel="1" x14ac:dyDescent="0.2">
      <c r="A156" s="934"/>
      <c r="B156" s="1085" t="s">
        <v>1073</v>
      </c>
      <c r="C156" s="934"/>
      <c r="D156" s="934"/>
      <c r="E156" s="1115" t="s">
        <v>1062</v>
      </c>
      <c r="F156" s="934"/>
      <c r="G156" s="934"/>
      <c r="H156" s="902">
        <v>0</v>
      </c>
      <c r="I156" s="902">
        <v>0.02</v>
      </c>
      <c r="J156" s="902">
        <v>0.02</v>
      </c>
      <c r="K156" s="902">
        <v>0.02</v>
      </c>
      <c r="L156" s="1210">
        <v>0.02</v>
      </c>
      <c r="M156" s="934"/>
    </row>
    <row r="157" spans="1:13" outlineLevel="1" x14ac:dyDescent="0.2">
      <c r="A157" s="934"/>
      <c r="B157" s="1085" t="s">
        <v>1074</v>
      </c>
      <c r="C157" s="934"/>
      <c r="D157" s="934"/>
      <c r="E157" s="1115" t="s">
        <v>41</v>
      </c>
      <c r="F157" s="934"/>
      <c r="G157" s="934"/>
      <c r="H157" s="1118">
        <f>H155*(1+H156)</f>
        <v>318000</v>
      </c>
      <c r="I157" s="1118">
        <f>I155*(1+I156)</f>
        <v>394348.32</v>
      </c>
      <c r="J157" s="1118">
        <f t="shared" ref="J157:L157" si="36">J155*(1+J156)</f>
        <v>426160.4472</v>
      </c>
      <c r="K157" s="1118">
        <f t="shared" si="36"/>
        <v>432666.14061600005</v>
      </c>
      <c r="L157" s="1119">
        <f t="shared" si="36"/>
        <v>439367.00483448</v>
      </c>
      <c r="M157" s="934"/>
    </row>
    <row r="158" spans="1:13" outlineLevel="1" x14ac:dyDescent="0.2">
      <c r="A158" s="934"/>
      <c r="B158" s="1085" t="s">
        <v>1075</v>
      </c>
      <c r="C158" s="934"/>
      <c r="D158" s="934"/>
      <c r="E158" s="1115" t="s">
        <v>1062</v>
      </c>
      <c r="F158" s="934"/>
      <c r="G158" s="934"/>
      <c r="H158" s="902">
        <v>0.35199999999999998</v>
      </c>
      <c r="I158" s="902">
        <v>0.35199999999999998</v>
      </c>
      <c r="J158" s="902">
        <v>0.35199999999999998</v>
      </c>
      <c r="K158" s="902">
        <v>0.35199999999999998</v>
      </c>
      <c r="L158" s="1210">
        <v>0.35199999999999998</v>
      </c>
      <c r="M158" s="934"/>
    </row>
    <row r="159" spans="1:13" outlineLevel="1" x14ac:dyDescent="0.2">
      <c r="A159" s="934"/>
      <c r="B159" s="937"/>
      <c r="C159" s="934"/>
      <c r="D159" s="934"/>
      <c r="E159" s="934"/>
      <c r="F159" s="934"/>
      <c r="G159" s="934"/>
      <c r="H159" s="934"/>
      <c r="I159" s="934"/>
      <c r="J159" s="934"/>
      <c r="K159" s="934"/>
      <c r="L159" s="941"/>
      <c r="M159" s="934"/>
    </row>
    <row r="160" spans="1:13" outlineLevel="1" x14ac:dyDescent="0.2">
      <c r="A160" s="934"/>
      <c r="B160" s="944" t="s">
        <v>1076</v>
      </c>
      <c r="C160" s="934"/>
      <c r="D160" s="934"/>
      <c r="E160" s="934"/>
      <c r="F160" s="934"/>
      <c r="G160" s="934"/>
      <c r="H160" s="1116">
        <f>H157*(1+H158)</f>
        <v>429935.99999999994</v>
      </c>
      <c r="I160" s="1116">
        <f>I157*(1+I158)</f>
        <v>533158.92863999994</v>
      </c>
      <c r="J160" s="1116">
        <f t="shared" ref="J160:L160" si="37">J157*(1+J158)</f>
        <v>576168.9246143999</v>
      </c>
      <c r="K160" s="1116">
        <f t="shared" si="37"/>
        <v>584964.62211283203</v>
      </c>
      <c r="L160" s="1117">
        <f t="shared" si="37"/>
        <v>594024.19053621695</v>
      </c>
      <c r="M160" s="934"/>
    </row>
    <row r="161" spans="1:13" ht="12" outlineLevel="1" thickBot="1" x14ac:dyDescent="0.25">
      <c r="A161" s="934"/>
      <c r="B161" s="1222"/>
      <c r="C161" s="1223"/>
      <c r="D161" s="1223"/>
      <c r="E161" s="1223"/>
      <c r="F161" s="1223"/>
      <c r="G161" s="1223"/>
      <c r="H161" s="1223"/>
      <c r="I161" s="1223"/>
      <c r="J161" s="1223"/>
      <c r="K161" s="1223"/>
      <c r="L161" s="1224"/>
      <c r="M161" s="934"/>
    </row>
    <row r="162" spans="1:13" x14ac:dyDescent="0.2">
      <c r="A162" s="934"/>
      <c r="B162" s="934"/>
      <c r="C162" s="934"/>
      <c r="D162" s="934"/>
      <c r="E162" s="934"/>
      <c r="F162" s="934"/>
      <c r="G162" s="934"/>
      <c r="H162" s="934"/>
      <c r="I162" s="934"/>
      <c r="J162" s="934"/>
      <c r="K162" s="934"/>
      <c r="L162" s="934"/>
      <c r="M162" s="934"/>
    </row>
    <row r="163" spans="1:13" ht="19.5" customHeight="1" x14ac:dyDescent="0.2">
      <c r="A163" s="934"/>
      <c r="B163" s="1098" t="s">
        <v>1102</v>
      </c>
      <c r="C163" s="1095"/>
      <c r="D163" s="1095"/>
      <c r="E163" s="1096"/>
      <c r="F163" s="1097"/>
      <c r="G163" s="1097"/>
      <c r="H163" s="1097"/>
      <c r="I163" s="1097"/>
      <c r="J163" s="1097"/>
      <c r="K163" s="1097"/>
      <c r="L163" s="1097"/>
      <c r="M163" s="934"/>
    </row>
    <row r="164" spans="1:13" outlineLevel="1" x14ac:dyDescent="0.2">
      <c r="A164" s="934"/>
      <c r="B164" s="1111" t="s">
        <v>1135</v>
      </c>
      <c r="C164" s="939"/>
      <c r="D164" s="939"/>
      <c r="E164" s="939"/>
      <c r="F164" s="939"/>
      <c r="G164" s="939"/>
      <c r="H164" s="972">
        <f>H2</f>
        <v>2030</v>
      </c>
      <c r="I164" s="972">
        <f>I2</f>
        <v>2031</v>
      </c>
      <c r="J164" s="972">
        <f>J2</f>
        <v>2032</v>
      </c>
      <c r="K164" s="972">
        <f>K2</f>
        <v>2033</v>
      </c>
      <c r="L164" s="1421">
        <f>L2</f>
        <v>2034</v>
      </c>
      <c r="M164" s="934"/>
    </row>
    <row r="165" spans="1:13" outlineLevel="1" x14ac:dyDescent="0.2">
      <c r="A165" s="934"/>
      <c r="B165" s="1133" t="s">
        <v>1136</v>
      </c>
      <c r="C165" s="1170"/>
      <c r="D165" s="1212">
        <v>175</v>
      </c>
      <c r="E165" s="1363" t="s">
        <v>1069</v>
      </c>
      <c r="F165" s="934"/>
      <c r="G165" s="934"/>
      <c r="H165" s="1094">
        <f t="shared" ref="H165:L169" si="38">$D165*H$16*H77</f>
        <v>75600</v>
      </c>
      <c r="I165" s="1094">
        <f t="shared" si="38"/>
        <v>84000</v>
      </c>
      <c r="J165" s="1094">
        <f t="shared" si="38"/>
        <v>84000</v>
      </c>
      <c r="K165" s="1094">
        <f t="shared" si="38"/>
        <v>84000</v>
      </c>
      <c r="L165" s="1422">
        <f t="shared" si="38"/>
        <v>84000</v>
      </c>
      <c r="M165" s="934"/>
    </row>
    <row r="166" spans="1:13" outlineLevel="1" x14ac:dyDescent="0.2">
      <c r="A166" s="934"/>
      <c r="B166" s="1133" t="s">
        <v>1137</v>
      </c>
      <c r="C166" s="1170"/>
      <c r="D166" s="1212">
        <v>350</v>
      </c>
      <c r="E166" s="1363" t="s">
        <v>1069</v>
      </c>
      <c r="F166" s="934"/>
      <c r="G166" s="934"/>
      <c r="H166" s="1094">
        <f t="shared" si="38"/>
        <v>33600</v>
      </c>
      <c r="I166" s="1094">
        <f t="shared" si="38"/>
        <v>37800</v>
      </c>
      <c r="J166" s="1094">
        <f t="shared" si="38"/>
        <v>50400</v>
      </c>
      <c r="K166" s="1094">
        <f t="shared" si="38"/>
        <v>50400</v>
      </c>
      <c r="L166" s="1422">
        <f t="shared" si="38"/>
        <v>50400</v>
      </c>
      <c r="M166" s="934"/>
    </row>
    <row r="167" spans="1:13" outlineLevel="1" x14ac:dyDescent="0.2">
      <c r="A167" s="934"/>
      <c r="B167" s="1133" t="s">
        <v>1138</v>
      </c>
      <c r="C167" s="1170"/>
      <c r="D167" s="1212">
        <v>455</v>
      </c>
      <c r="E167" s="1363" t="s">
        <v>1069</v>
      </c>
      <c r="F167" s="934"/>
      <c r="G167" s="934"/>
      <c r="H167" s="1094">
        <f t="shared" si="38"/>
        <v>0</v>
      </c>
      <c r="I167" s="1094">
        <f t="shared" si="38"/>
        <v>0</v>
      </c>
      <c r="J167" s="1094">
        <f t="shared" si="38"/>
        <v>0</v>
      </c>
      <c r="K167" s="1094">
        <f t="shared" si="38"/>
        <v>0</v>
      </c>
      <c r="L167" s="1422">
        <f t="shared" si="38"/>
        <v>0</v>
      </c>
      <c r="M167" s="934"/>
    </row>
    <row r="168" spans="1:13" outlineLevel="1" x14ac:dyDescent="0.2">
      <c r="A168" s="934"/>
      <c r="B168" s="1133" t="s">
        <v>1139</v>
      </c>
      <c r="C168" s="1170"/>
      <c r="D168" s="1212">
        <v>630</v>
      </c>
      <c r="E168" s="1363" t="s">
        <v>1069</v>
      </c>
      <c r="F168" s="934"/>
      <c r="G168" s="934"/>
      <c r="H168" s="1094">
        <f t="shared" si="38"/>
        <v>0</v>
      </c>
      <c r="I168" s="1094">
        <f t="shared" si="38"/>
        <v>0</v>
      </c>
      <c r="J168" s="1094">
        <f t="shared" si="38"/>
        <v>0</v>
      </c>
      <c r="K168" s="1094">
        <f t="shared" si="38"/>
        <v>0</v>
      </c>
      <c r="L168" s="1422">
        <f t="shared" si="38"/>
        <v>0</v>
      </c>
      <c r="M168" s="934"/>
    </row>
    <row r="169" spans="1:13" outlineLevel="1" x14ac:dyDescent="0.2">
      <c r="A169" s="934"/>
      <c r="B169" s="1221" t="s">
        <v>1166</v>
      </c>
      <c r="C169" s="1170"/>
      <c r="D169" s="1212">
        <v>770</v>
      </c>
      <c r="E169" s="1363" t="s">
        <v>1069</v>
      </c>
      <c r="F169" s="934"/>
      <c r="G169" s="934"/>
      <c r="H169" s="1094">
        <f t="shared" si="38"/>
        <v>0</v>
      </c>
      <c r="I169" s="1094">
        <f t="shared" si="38"/>
        <v>0</v>
      </c>
      <c r="J169" s="1094">
        <f t="shared" si="38"/>
        <v>0</v>
      </c>
      <c r="K169" s="1094">
        <f t="shared" si="38"/>
        <v>0</v>
      </c>
      <c r="L169" s="1114">
        <f t="shared" si="38"/>
        <v>0</v>
      </c>
      <c r="M169" s="934"/>
    </row>
    <row r="170" spans="1:13" outlineLevel="1" x14ac:dyDescent="0.2">
      <c r="A170" s="934"/>
      <c r="B170" s="1133"/>
      <c r="C170" s="1170"/>
      <c r="D170" s="1171"/>
      <c r="E170" s="1171"/>
      <c r="F170" s="934"/>
      <c r="G170" s="934"/>
      <c r="H170" s="1094"/>
      <c r="I170" s="1094"/>
      <c r="J170" s="1094"/>
      <c r="K170" s="1094"/>
      <c r="L170" s="1114"/>
      <c r="M170" s="934"/>
    </row>
    <row r="171" spans="1:13" outlineLevel="1" x14ac:dyDescent="0.2">
      <c r="A171" s="934"/>
      <c r="B171" s="905" t="s">
        <v>1140</v>
      </c>
      <c r="C171" s="1170"/>
      <c r="D171" s="888"/>
      <c r="E171" s="1171"/>
      <c r="F171" s="934"/>
      <c r="G171" s="934"/>
      <c r="H171" s="1116">
        <f>SUM(H165:H169)</f>
        <v>109200</v>
      </c>
      <c r="I171" s="1116">
        <f t="shared" ref="I171:L171" si="39">SUM(I165:I169)</f>
        <v>121800</v>
      </c>
      <c r="J171" s="1116">
        <f t="shared" si="39"/>
        <v>134400</v>
      </c>
      <c r="K171" s="1116">
        <f t="shared" si="39"/>
        <v>134400</v>
      </c>
      <c r="L171" s="1117">
        <f t="shared" si="39"/>
        <v>134400</v>
      </c>
      <c r="M171" s="934"/>
    </row>
    <row r="172" spans="1:13" outlineLevel="1" x14ac:dyDescent="0.2">
      <c r="A172" s="934"/>
      <c r="B172" s="1173" t="s">
        <v>1141</v>
      </c>
      <c r="C172" s="1170"/>
      <c r="D172" s="888"/>
      <c r="E172" s="1171"/>
      <c r="F172" s="934"/>
      <c r="G172" s="934"/>
      <c r="H172" s="1116"/>
      <c r="I172" s="1116"/>
      <c r="J172" s="1116"/>
      <c r="K172" s="1116"/>
      <c r="L172" s="1117"/>
      <c r="M172" s="934"/>
    </row>
    <row r="173" spans="1:13" outlineLevel="1" x14ac:dyDescent="0.2">
      <c r="A173" s="934"/>
      <c r="B173" s="1304" t="s">
        <v>1148</v>
      </c>
      <c r="C173" s="1170"/>
      <c r="D173" s="888"/>
      <c r="E173" s="1171"/>
      <c r="F173" s="934"/>
      <c r="G173" s="934"/>
      <c r="H173" s="1116"/>
      <c r="I173" s="1116"/>
      <c r="J173" s="1116"/>
      <c r="K173" s="1116"/>
      <c r="L173" s="1117"/>
      <c r="M173" s="934"/>
    </row>
    <row r="174" spans="1:13" outlineLevel="1" x14ac:dyDescent="0.2">
      <c r="A174" s="934"/>
      <c r="B174" s="1174" t="s">
        <v>1142</v>
      </c>
      <c r="C174" s="1170"/>
      <c r="D174" s="888"/>
      <c r="E174" s="1171"/>
      <c r="F174" s="934"/>
      <c r="G174" s="934"/>
      <c r="H174" s="1116"/>
      <c r="I174" s="1116"/>
      <c r="J174" s="1116"/>
      <c r="K174" s="1116"/>
      <c r="L174" s="1117"/>
      <c r="M174" s="934"/>
    </row>
    <row r="175" spans="1:13" outlineLevel="1" x14ac:dyDescent="0.2">
      <c r="A175" s="934"/>
      <c r="B175" s="1175"/>
      <c r="C175" s="938"/>
      <c r="D175" s="938"/>
      <c r="E175" s="938"/>
      <c r="F175" s="938"/>
      <c r="G175" s="938"/>
      <c r="H175" s="938"/>
      <c r="I175" s="938"/>
      <c r="J175" s="938"/>
      <c r="K175" s="938"/>
      <c r="L175" s="946"/>
      <c r="M175" s="934"/>
    </row>
    <row r="176" spans="1:13" x14ac:dyDescent="0.2">
      <c r="A176" s="934"/>
      <c r="B176" s="934"/>
      <c r="C176" s="934"/>
      <c r="D176" s="934"/>
      <c r="E176" s="934"/>
      <c r="F176" s="934"/>
      <c r="G176" s="934"/>
      <c r="H176" s="934"/>
      <c r="I176" s="934"/>
      <c r="J176" s="934"/>
      <c r="K176" s="934"/>
      <c r="L176" s="934"/>
      <c r="M176" s="934"/>
    </row>
    <row r="177" spans="1:13" ht="19.5" customHeight="1" x14ac:dyDescent="0.2">
      <c r="A177" s="934"/>
      <c r="B177" s="1098" t="s">
        <v>1020</v>
      </c>
      <c r="C177" s="1095"/>
      <c r="D177" s="1095"/>
      <c r="E177" s="1096"/>
      <c r="F177" s="1097"/>
      <c r="G177" s="1097"/>
      <c r="H177" s="1097"/>
      <c r="I177" s="1097"/>
      <c r="J177" s="1097"/>
      <c r="K177" s="1097"/>
      <c r="L177" s="1097"/>
      <c r="M177" s="934"/>
    </row>
    <row r="178" spans="1:13" outlineLevel="1" x14ac:dyDescent="0.2">
      <c r="A178" s="934"/>
      <c r="B178" s="1111" t="s">
        <v>925</v>
      </c>
      <c r="C178" s="939"/>
      <c r="D178" s="939"/>
      <c r="E178" s="939"/>
      <c r="F178" s="939"/>
      <c r="G178" s="939"/>
      <c r="H178" s="939"/>
      <c r="I178" s="939"/>
      <c r="J178" s="939"/>
      <c r="K178" s="939"/>
      <c r="L178" s="940"/>
      <c r="M178" s="934"/>
    </row>
    <row r="179" spans="1:13" outlineLevel="1" x14ac:dyDescent="0.2">
      <c r="A179" s="934"/>
      <c r="B179" s="937" t="s">
        <v>1078</v>
      </c>
      <c r="C179" s="934"/>
      <c r="D179" s="913">
        <v>2000</v>
      </c>
      <c r="E179" s="1303" t="s">
        <v>1186</v>
      </c>
      <c r="F179" s="934"/>
      <c r="G179" s="934"/>
      <c r="H179" s="1094">
        <f>$D$179*H16*H23</f>
        <v>24000</v>
      </c>
      <c r="I179" s="1094">
        <f>$D$179*I16*I23</f>
        <v>24720</v>
      </c>
      <c r="J179" s="1094">
        <f>$D$179*J16*J23</f>
        <v>25461.599999999999</v>
      </c>
      <c r="K179" s="1094">
        <f>$D$179*K16*K23</f>
        <v>26225.448</v>
      </c>
      <c r="L179" s="1114">
        <f>$D$179*L16*L23</f>
        <v>27012.211440000003</v>
      </c>
      <c r="M179" s="934"/>
    </row>
    <row r="180" spans="1:13" outlineLevel="1" x14ac:dyDescent="0.2">
      <c r="A180" s="934"/>
      <c r="B180" s="937" t="s">
        <v>1251</v>
      </c>
      <c r="C180" s="934"/>
      <c r="D180" s="934"/>
      <c r="E180" s="1303" t="s">
        <v>1080</v>
      </c>
      <c r="F180" s="934"/>
      <c r="G180" s="934"/>
      <c r="H180" s="888" t="e">
        <f>Scenario!#REF!</f>
        <v>#REF!</v>
      </c>
      <c r="I180" s="888" t="e">
        <f>Scenario!#REF!</f>
        <v>#REF!</v>
      </c>
      <c r="J180" s="888" t="e">
        <f>Scenario!#REF!</f>
        <v>#REF!</v>
      </c>
      <c r="K180" s="888" t="e">
        <f>Scenario!#REF!</f>
        <v>#REF!</v>
      </c>
      <c r="L180" s="1120" t="e">
        <f>Scenario!#REF!</f>
        <v>#REF!</v>
      </c>
      <c r="M180" s="934"/>
    </row>
    <row r="181" spans="1:13" outlineLevel="1" x14ac:dyDescent="0.2">
      <c r="A181" s="934"/>
      <c r="B181" s="937"/>
      <c r="C181" s="934"/>
      <c r="D181" s="934"/>
      <c r="E181" s="1303"/>
      <c r="F181" s="934"/>
      <c r="G181" s="934"/>
      <c r="H181" s="1094" t="e">
        <f>H180*H93</f>
        <v>#REF!</v>
      </c>
      <c r="I181" s="1094" t="e">
        <f>I180*I93</f>
        <v>#REF!</v>
      </c>
      <c r="J181" s="1094" t="e">
        <f>J180*J93</f>
        <v>#REF!</v>
      </c>
      <c r="K181" s="1094" t="e">
        <f>K180*K93</f>
        <v>#REF!</v>
      </c>
      <c r="L181" s="1114" t="e">
        <f>L180*L93</f>
        <v>#REF!</v>
      </c>
      <c r="M181" s="934"/>
    </row>
    <row r="182" spans="1:13" outlineLevel="1" x14ac:dyDescent="0.2">
      <c r="A182" s="934"/>
      <c r="B182" s="937" t="s">
        <v>1293</v>
      </c>
      <c r="C182" s="934"/>
      <c r="D182" s="934"/>
      <c r="E182" s="1303" t="s">
        <v>1168</v>
      </c>
      <c r="F182" s="934"/>
      <c r="G182" s="934"/>
      <c r="H182" s="1450">
        <f>Assumptions!H61</f>
        <v>363375</v>
      </c>
      <c r="I182" s="1450">
        <f>Assumptions!I61</f>
        <v>487976.28749999998</v>
      </c>
      <c r="J182" s="1450">
        <f>Assumptions!J61</f>
        <v>655303.35648374981</v>
      </c>
      <c r="K182" s="1450">
        <f>Assumptions!K61</f>
        <v>812314.04069725634</v>
      </c>
      <c r="L182" s="1451">
        <f>Assumptions!L61</f>
        <v>1006944.4848483187</v>
      </c>
      <c r="M182" s="934"/>
    </row>
    <row r="183" spans="1:13" outlineLevel="1" x14ac:dyDescent="0.2">
      <c r="A183" s="934"/>
      <c r="B183" s="937" t="s">
        <v>1259</v>
      </c>
      <c r="C183" s="934"/>
      <c r="D183" s="913">
        <v>150</v>
      </c>
      <c r="E183" s="1303" t="s">
        <v>1186</v>
      </c>
      <c r="F183" s="934"/>
      <c r="G183" s="934"/>
      <c r="H183" s="1094">
        <f>$D183*H$16*H$23*H$41</f>
        <v>93600</v>
      </c>
      <c r="I183" s="1094">
        <f>$D183*I$16*I$23*I$41</f>
        <v>96408</v>
      </c>
      <c r="J183" s="1094">
        <f>$D183*J$16*J$23*J$41</f>
        <v>99300.239999999991</v>
      </c>
      <c r="K183" s="1094">
        <f>$D183*K$16*K$23*K$41</f>
        <v>102279.2472</v>
      </c>
      <c r="L183" s="1114">
        <f>$D183*L$16*L$23*L$41</f>
        <v>105347.62461600002</v>
      </c>
      <c r="M183" s="934"/>
    </row>
    <row r="184" spans="1:13" outlineLevel="1" x14ac:dyDescent="0.2">
      <c r="A184" s="934"/>
      <c r="B184" s="937" t="s">
        <v>1250</v>
      </c>
      <c r="C184" s="934"/>
      <c r="D184" s="889">
        <v>1.4999999999999999E-2</v>
      </c>
      <c r="E184" s="1303" t="s">
        <v>1080</v>
      </c>
      <c r="F184" s="934"/>
      <c r="G184" s="934"/>
      <c r="H184" s="1094" t="e">
        <f>$D184*H$93</f>
        <v>#REF!</v>
      </c>
      <c r="I184" s="1094" t="e">
        <f t="shared" ref="I184:L184" si="40">$D184*I$93</f>
        <v>#REF!</v>
      </c>
      <c r="J184" s="1094" t="e">
        <f t="shared" si="40"/>
        <v>#REF!</v>
      </c>
      <c r="K184" s="1094" t="e">
        <f t="shared" si="40"/>
        <v>#REF!</v>
      </c>
      <c r="L184" s="1114" t="e">
        <f t="shared" si="40"/>
        <v>#REF!</v>
      </c>
      <c r="M184" s="934"/>
    </row>
    <row r="185" spans="1:13" outlineLevel="1" x14ac:dyDescent="0.2">
      <c r="A185" s="934"/>
      <c r="B185" s="937" t="s">
        <v>1170</v>
      </c>
      <c r="C185" s="934"/>
      <c r="D185" s="913">
        <v>2500</v>
      </c>
      <c r="E185" s="1303" t="s">
        <v>1168</v>
      </c>
      <c r="F185" s="934"/>
      <c r="G185" s="934"/>
      <c r="H185" s="1094">
        <f>$D$185*H23</f>
        <v>2500</v>
      </c>
      <c r="I185" s="1094">
        <f>$D$185*I23</f>
        <v>2575</v>
      </c>
      <c r="J185" s="1094">
        <f>$D$185*J23</f>
        <v>2652.25</v>
      </c>
      <c r="K185" s="1094">
        <f>$D$185*K23</f>
        <v>2731.8175000000001</v>
      </c>
      <c r="L185" s="1114">
        <f>$D$185*L23</f>
        <v>2813.7720250000002</v>
      </c>
      <c r="M185" s="934"/>
    </row>
    <row r="186" spans="1:13" outlineLevel="1" x14ac:dyDescent="0.2">
      <c r="A186" s="934"/>
      <c r="B186" s="937" t="s">
        <v>1185</v>
      </c>
      <c r="C186" s="934"/>
      <c r="D186" s="934"/>
      <c r="E186" s="1303" t="s">
        <v>1168</v>
      </c>
      <c r="F186" s="934"/>
      <c r="G186" s="934"/>
      <c r="H186" s="1450">
        <f>Assumptions!H59</f>
        <v>641250</v>
      </c>
      <c r="I186" s="1450">
        <f>Assumptions!I59</f>
        <v>861134.62499999977</v>
      </c>
      <c r="J186" s="1450">
        <f>Assumptions!J59</f>
        <v>1156417.6879124998</v>
      </c>
      <c r="K186" s="1450">
        <f>Assumptions!K59</f>
        <v>1433495.3659363345</v>
      </c>
      <c r="L186" s="1450">
        <f>Assumptions!L59</f>
        <v>1776960.8556146796</v>
      </c>
      <c r="M186" s="934"/>
    </row>
    <row r="187" spans="1:13" outlineLevel="1" x14ac:dyDescent="0.2">
      <c r="A187" s="934"/>
      <c r="B187" s="937" t="s">
        <v>1167</v>
      </c>
      <c r="C187" s="934"/>
      <c r="D187" s="913">
        <v>2000</v>
      </c>
      <c r="E187" s="1303" t="s">
        <v>1168</v>
      </c>
      <c r="F187" s="934"/>
      <c r="G187" s="934"/>
      <c r="H187" s="1094">
        <f>$D$187*H23</f>
        <v>2000</v>
      </c>
      <c r="I187" s="1094">
        <f>$D$187*I23</f>
        <v>2060</v>
      </c>
      <c r="J187" s="1094">
        <f>$D$187*J23</f>
        <v>2121.7999999999997</v>
      </c>
      <c r="K187" s="1094">
        <f>$D$187*K23</f>
        <v>2185.4540000000002</v>
      </c>
      <c r="L187" s="1114">
        <f>$D$187*L23</f>
        <v>2251.0176200000001</v>
      </c>
      <c r="M187" s="934"/>
    </row>
    <row r="188" spans="1:13" outlineLevel="1" x14ac:dyDescent="0.2">
      <c r="A188" s="934"/>
      <c r="B188" s="937" t="s">
        <v>1079</v>
      </c>
      <c r="C188" s="934"/>
      <c r="D188" s="889">
        <v>0.01</v>
      </c>
      <c r="E188" s="1303" t="s">
        <v>1080</v>
      </c>
      <c r="F188" s="934"/>
      <c r="G188" s="934"/>
      <c r="H188" s="1094" t="e">
        <f>$D188*H$93</f>
        <v>#REF!</v>
      </c>
      <c r="I188" s="1094" t="e">
        <f t="shared" ref="I188:L190" si="41">$D188*I$93</f>
        <v>#REF!</v>
      </c>
      <c r="J188" s="1094" t="e">
        <f t="shared" si="41"/>
        <v>#REF!</v>
      </c>
      <c r="K188" s="1094" t="e">
        <f t="shared" si="41"/>
        <v>#REF!</v>
      </c>
      <c r="L188" s="1114" t="e">
        <f t="shared" si="41"/>
        <v>#REF!</v>
      </c>
      <c r="M188" s="934"/>
    </row>
    <row r="189" spans="1:13" outlineLevel="1" x14ac:dyDescent="0.2">
      <c r="A189" s="934"/>
      <c r="B189" s="937" t="s">
        <v>1248</v>
      </c>
      <c r="C189" s="934"/>
      <c r="D189" s="913">
        <v>15000</v>
      </c>
      <c r="E189" s="1303" t="s">
        <v>1249</v>
      </c>
      <c r="F189" s="934"/>
      <c r="G189" s="934"/>
      <c r="H189" s="1094">
        <f>D189</f>
        <v>15000</v>
      </c>
      <c r="I189" s="1094">
        <v>0</v>
      </c>
      <c r="J189" s="1094">
        <v>0</v>
      </c>
      <c r="K189" s="1094">
        <v>0</v>
      </c>
      <c r="L189" s="1114">
        <v>0</v>
      </c>
      <c r="M189" s="934"/>
    </row>
    <row r="190" spans="1:13" outlineLevel="1" x14ac:dyDescent="0.2">
      <c r="A190" s="934"/>
      <c r="B190" s="937" t="s">
        <v>68</v>
      </c>
      <c r="C190" s="934"/>
      <c r="D190" s="889">
        <v>5.0000000000000001E-3</v>
      </c>
      <c r="E190" s="1303" t="s">
        <v>1080</v>
      </c>
      <c r="F190" s="934"/>
      <c r="G190" s="934"/>
      <c r="H190" s="1094" t="e">
        <f>$D190*H$93</f>
        <v>#REF!</v>
      </c>
      <c r="I190" s="1094" t="e">
        <f t="shared" si="41"/>
        <v>#REF!</v>
      </c>
      <c r="J190" s="1094" t="e">
        <f t="shared" si="41"/>
        <v>#REF!</v>
      </c>
      <c r="K190" s="1094" t="e">
        <f t="shared" si="41"/>
        <v>#REF!</v>
      </c>
      <c r="L190" s="1114" t="e">
        <f t="shared" si="41"/>
        <v>#REF!</v>
      </c>
      <c r="M190" s="934"/>
    </row>
    <row r="191" spans="1:13" outlineLevel="1" x14ac:dyDescent="0.2">
      <c r="A191" s="934"/>
      <c r="B191" s="937"/>
      <c r="C191" s="934"/>
      <c r="D191" s="934"/>
      <c r="E191" s="943"/>
      <c r="F191" s="934"/>
      <c r="G191" s="934"/>
      <c r="H191" s="1094"/>
      <c r="I191" s="1094"/>
      <c r="J191" s="1094"/>
      <c r="K191" s="1094"/>
      <c r="L191" s="1114"/>
      <c r="M191" s="934"/>
    </row>
    <row r="192" spans="1:13" outlineLevel="1" x14ac:dyDescent="0.2">
      <c r="A192" s="934"/>
      <c r="B192" s="944" t="s">
        <v>1035</v>
      </c>
      <c r="C192" s="934"/>
      <c r="D192" s="934"/>
      <c r="E192" s="934"/>
      <c r="F192" s="934"/>
      <c r="G192" s="934"/>
      <c r="H192" s="1099" t="e">
        <f>SUM(H179,H181:H190)</f>
        <v>#REF!</v>
      </c>
      <c r="I192" s="1099" t="e">
        <f>SUM(I179,I181:I190)</f>
        <v>#REF!</v>
      </c>
      <c r="J192" s="1099" t="e">
        <f>SUM(J179,J181:J190)</f>
        <v>#REF!</v>
      </c>
      <c r="K192" s="1099" t="e">
        <f>SUM(K179,K181:K190)</f>
        <v>#REF!</v>
      </c>
      <c r="L192" s="1380" t="e">
        <f>SUM(L179,L181:L190)</f>
        <v>#REF!</v>
      </c>
      <c r="M192" s="934"/>
    </row>
    <row r="193" spans="1:13" outlineLevel="1" x14ac:dyDescent="0.2">
      <c r="A193" s="934"/>
      <c r="B193" s="945"/>
      <c r="C193" s="938"/>
      <c r="D193" s="938"/>
      <c r="E193" s="938"/>
      <c r="F193" s="938"/>
      <c r="G193" s="938"/>
      <c r="H193" s="1100"/>
      <c r="I193" s="938"/>
      <c r="J193" s="938"/>
      <c r="K193" s="938"/>
      <c r="L193" s="946"/>
      <c r="M193" s="934"/>
    </row>
    <row r="194" spans="1:13" x14ac:dyDescent="0.2">
      <c r="A194" s="934"/>
      <c r="B194" s="934"/>
      <c r="C194" s="934"/>
      <c r="D194" s="934"/>
      <c r="E194" s="934"/>
      <c r="F194" s="934"/>
      <c r="G194" s="934"/>
      <c r="H194" s="1094"/>
      <c r="I194" s="934"/>
      <c r="J194" s="934"/>
      <c r="K194" s="934"/>
      <c r="L194" s="934"/>
      <c r="M194" s="934"/>
    </row>
    <row r="195" spans="1:13" ht="19.5" customHeight="1" x14ac:dyDescent="0.2">
      <c r="A195" s="934"/>
      <c r="B195" s="862" t="s">
        <v>1022</v>
      </c>
      <c r="C195" s="863"/>
      <c r="D195" s="863"/>
      <c r="E195" s="890"/>
      <c r="F195" s="891"/>
      <c r="G195" s="891"/>
      <c r="H195" s="891"/>
      <c r="I195" s="891"/>
      <c r="J195" s="891"/>
      <c r="K195" s="891"/>
      <c r="L195" s="891"/>
      <c r="M195" s="934"/>
    </row>
    <row r="196" spans="1:13" outlineLevel="1" x14ac:dyDescent="0.2">
      <c r="A196" s="934"/>
      <c r="B196" s="1111" t="s">
        <v>1081</v>
      </c>
      <c r="C196" s="939"/>
      <c r="D196" s="939"/>
      <c r="E196" s="939"/>
      <c r="F196" s="939"/>
      <c r="G196" s="939"/>
      <c r="H196" s="939"/>
      <c r="I196" s="939"/>
      <c r="J196" s="939"/>
      <c r="K196" s="939"/>
      <c r="L196" s="940"/>
      <c r="M196" s="934"/>
    </row>
    <row r="197" spans="1:13" outlineLevel="1" x14ac:dyDescent="0.2">
      <c r="A197" s="934"/>
      <c r="B197" s="944" t="s">
        <v>1082</v>
      </c>
      <c r="C197" s="934"/>
      <c r="D197" s="934"/>
      <c r="E197" s="934"/>
      <c r="F197" s="934"/>
      <c r="G197" s="934"/>
      <c r="H197" s="934"/>
      <c r="I197" s="934"/>
      <c r="J197" s="934"/>
      <c r="K197" s="934"/>
      <c r="L197" s="941"/>
      <c r="M197" s="934"/>
    </row>
    <row r="198" spans="1:13" outlineLevel="1" x14ac:dyDescent="0.2">
      <c r="A198" s="934"/>
      <c r="B198" s="937" t="s">
        <v>1239</v>
      </c>
      <c r="C198" s="934"/>
      <c r="D198" s="934"/>
      <c r="E198" s="934"/>
      <c r="F198" s="934"/>
      <c r="G198" s="934"/>
      <c r="H198" s="1093">
        <v>0</v>
      </c>
      <c r="I198" s="1093">
        <v>0</v>
      </c>
      <c r="J198" s="1093">
        <v>0</v>
      </c>
      <c r="K198" s="1093">
        <v>0</v>
      </c>
      <c r="L198" s="1113">
        <v>0</v>
      </c>
      <c r="M198" s="934"/>
    </row>
    <row r="199" spans="1:13" outlineLevel="1" x14ac:dyDescent="0.2">
      <c r="A199" s="934"/>
      <c r="B199" s="937" t="s">
        <v>1240</v>
      </c>
      <c r="C199" s="934"/>
      <c r="D199" s="934"/>
      <c r="E199" s="934"/>
      <c r="F199" s="934"/>
      <c r="G199" s="934"/>
      <c r="H199" s="1093">
        <v>0</v>
      </c>
      <c r="I199" s="1093">
        <v>0</v>
      </c>
      <c r="J199" s="1093">
        <v>0</v>
      </c>
      <c r="K199" s="1093">
        <v>0</v>
      </c>
      <c r="L199" s="1113">
        <v>0</v>
      </c>
      <c r="M199" s="934"/>
    </row>
    <row r="200" spans="1:13" outlineLevel="1" x14ac:dyDescent="0.2">
      <c r="A200" s="934"/>
      <c r="B200" s="937" t="s">
        <v>871</v>
      </c>
      <c r="C200" s="934"/>
      <c r="D200" s="934"/>
      <c r="E200" s="934"/>
      <c r="F200" s="934"/>
      <c r="G200" s="934"/>
      <c r="H200" s="1305">
        <v>0</v>
      </c>
      <c r="I200" s="1305">
        <v>0</v>
      </c>
      <c r="J200" s="1305">
        <v>0</v>
      </c>
      <c r="K200" s="1305">
        <v>0</v>
      </c>
      <c r="L200" s="1452">
        <v>0</v>
      </c>
      <c r="M200" s="934"/>
    </row>
    <row r="201" spans="1:13" outlineLevel="1" x14ac:dyDescent="0.2">
      <c r="A201" s="934"/>
      <c r="B201" s="905" t="s">
        <v>1054</v>
      </c>
      <c r="C201" s="1102"/>
      <c r="D201" s="1103"/>
      <c r="E201" s="930"/>
      <c r="F201" s="1104"/>
      <c r="G201" s="1105"/>
      <c r="H201" s="1163">
        <f>SUM(H198:H200)</f>
        <v>0</v>
      </c>
      <c r="I201" s="1163">
        <f>SUM(I198:I200)</f>
        <v>0</v>
      </c>
      <c r="J201" s="1163">
        <f>SUM(J198:J199)</f>
        <v>0</v>
      </c>
      <c r="K201" s="1163">
        <f>SUM(K198:K199)</f>
        <v>0</v>
      </c>
      <c r="L201" s="1453">
        <f>SUM(L198:L199)</f>
        <v>0</v>
      </c>
      <c r="M201" s="934"/>
    </row>
    <row r="202" spans="1:13" outlineLevel="1" x14ac:dyDescent="0.2">
      <c r="A202" s="934"/>
      <c r="B202" s="905"/>
      <c r="C202" s="1102"/>
      <c r="D202" s="1103"/>
      <c r="E202" s="930"/>
      <c r="F202" s="1104"/>
      <c r="G202" s="1105"/>
      <c r="H202" s="1163"/>
      <c r="I202" s="1163"/>
      <c r="J202" s="1163"/>
      <c r="K202" s="1163"/>
      <c r="L202" s="1453"/>
      <c r="M202" s="934"/>
    </row>
    <row r="203" spans="1:13" outlineLevel="1" x14ac:dyDescent="0.2">
      <c r="A203" s="934"/>
      <c r="B203" s="905" t="s">
        <v>1245</v>
      </c>
      <c r="C203" s="1102"/>
      <c r="D203" s="1103"/>
      <c r="E203" s="930"/>
      <c r="F203" s="1104"/>
      <c r="G203" s="1105"/>
      <c r="H203" s="1163"/>
      <c r="I203" s="1163"/>
      <c r="J203" s="1163"/>
      <c r="K203" s="1163"/>
      <c r="L203" s="1453"/>
      <c r="M203" s="934"/>
    </row>
    <row r="204" spans="1:13" outlineLevel="1" x14ac:dyDescent="0.2">
      <c r="A204" s="934"/>
      <c r="B204" s="1374" t="s">
        <v>1246</v>
      </c>
      <c r="C204" s="1102"/>
      <c r="D204" s="913">
        <f>H201</f>
        <v>0</v>
      </c>
      <c r="E204" s="930"/>
      <c r="F204" s="1104"/>
      <c r="G204" s="1105"/>
      <c r="H204" s="1386">
        <v>0.7</v>
      </c>
      <c r="I204" s="1387" t="s">
        <v>1257</v>
      </c>
      <c r="J204" s="1163"/>
      <c r="K204" s="1163"/>
      <c r="L204" s="1453"/>
      <c r="M204" s="934"/>
    </row>
    <row r="205" spans="1:13" outlineLevel="1" x14ac:dyDescent="0.2">
      <c r="A205" s="934"/>
      <c r="B205" s="1374" t="s">
        <v>1220</v>
      </c>
      <c r="C205" s="856">
        <v>0.05</v>
      </c>
      <c r="D205" s="913">
        <f>$C$205*D204</f>
        <v>0</v>
      </c>
      <c r="E205" s="930"/>
      <c r="F205" s="1104"/>
      <c r="G205" s="1105"/>
      <c r="H205" s="1387">
        <v>15</v>
      </c>
      <c r="I205" s="1387" t="s">
        <v>1258</v>
      </c>
      <c r="J205" s="1163"/>
      <c r="K205" s="1163"/>
      <c r="L205" s="1453"/>
      <c r="M205" s="934"/>
    </row>
    <row r="206" spans="1:13" outlineLevel="1" x14ac:dyDescent="0.2">
      <c r="A206" s="934"/>
      <c r="B206" s="905" t="s">
        <v>1247</v>
      </c>
      <c r="C206" s="1102"/>
      <c r="D206" s="1375">
        <f>SUM(D204:D205)</f>
        <v>0</v>
      </c>
      <c r="E206" s="930"/>
      <c r="F206" s="1104"/>
      <c r="G206" s="1105"/>
      <c r="H206" s="1163"/>
      <c r="I206" s="1163"/>
      <c r="J206" s="1163"/>
      <c r="K206" s="1163"/>
      <c r="L206" s="1453"/>
      <c r="M206" s="934"/>
    </row>
    <row r="207" spans="1:13" outlineLevel="1" x14ac:dyDescent="0.2">
      <c r="A207" s="934"/>
      <c r="B207" s="905"/>
      <c r="C207" s="1102"/>
      <c r="D207" s="1103"/>
      <c r="E207" s="930"/>
      <c r="F207" s="1104"/>
      <c r="G207" s="1105"/>
      <c r="H207" s="1163"/>
      <c r="I207" s="1163"/>
      <c r="J207" s="1163"/>
      <c r="K207" s="1163"/>
      <c r="L207" s="1453"/>
      <c r="M207" s="934"/>
    </row>
    <row r="208" spans="1:13" outlineLevel="1" x14ac:dyDescent="0.2">
      <c r="A208" s="934"/>
      <c r="B208" s="883" t="s">
        <v>79</v>
      </c>
      <c r="C208" s="1102"/>
      <c r="D208" s="1103"/>
      <c r="E208" s="930"/>
      <c r="F208" s="1104"/>
      <c r="G208" s="1105"/>
      <c r="H208" s="1105"/>
      <c r="I208" s="1105"/>
      <c r="J208" s="1105"/>
      <c r="K208" s="1105"/>
      <c r="L208" s="941"/>
      <c r="M208" s="934"/>
    </row>
    <row r="209" spans="1:13" outlineLevel="1" x14ac:dyDescent="0.2">
      <c r="A209" s="934"/>
      <c r="B209" s="905" t="s">
        <v>1200</v>
      </c>
      <c r="C209" s="1102"/>
      <c r="D209" s="1103"/>
      <c r="E209" s="930"/>
      <c r="F209" s="1104"/>
      <c r="G209" s="1105"/>
      <c r="H209" s="1105"/>
      <c r="I209" s="1105"/>
      <c r="J209" s="1105"/>
      <c r="K209" s="1105"/>
      <c r="L209" s="941"/>
      <c r="M209" s="934"/>
    </row>
    <row r="210" spans="1:13" ht="10.15" customHeight="1" outlineLevel="1" x14ac:dyDescent="0.2">
      <c r="A210" s="934"/>
      <c r="B210" s="1306" t="s">
        <v>1086</v>
      </c>
      <c r="C210"/>
      <c r="D210" s="913">
        <v>40</v>
      </c>
      <c r="E210" s="1106"/>
      <c r="F210" s="1104"/>
      <c r="G210" s="1105"/>
      <c r="H210" s="1105"/>
      <c r="I210" s="1105"/>
      <c r="J210" s="1105"/>
      <c r="K210" s="1105"/>
      <c r="L210" s="941"/>
      <c r="M210" s="934"/>
    </row>
    <row r="211" spans="1:13" ht="10.15" customHeight="1" outlineLevel="1" x14ac:dyDescent="0.2">
      <c r="A211" s="934"/>
      <c r="B211" s="1101" t="s">
        <v>1028</v>
      </c>
      <c r="C211"/>
      <c r="D211" s="1107">
        <v>0</v>
      </c>
      <c r="E211" s="1106"/>
      <c r="F211" s="1105"/>
      <c r="G211" s="1105"/>
      <c r="H211" s="1105">
        <f>D211</f>
        <v>0</v>
      </c>
      <c r="I211" s="1105">
        <f>H211</f>
        <v>0</v>
      </c>
      <c r="J211" s="1105">
        <f t="shared" ref="J211:L211" si="42">I211</f>
        <v>0</v>
      </c>
      <c r="K211" s="1105">
        <f t="shared" si="42"/>
        <v>0</v>
      </c>
      <c r="L211" s="1454">
        <f t="shared" si="42"/>
        <v>0</v>
      </c>
      <c r="M211" s="934"/>
    </row>
    <row r="212" spans="1:13" ht="10.15" customHeight="1" outlineLevel="1" x14ac:dyDescent="0.2">
      <c r="A212" s="934"/>
      <c r="B212" s="905" t="s">
        <v>1214</v>
      </c>
      <c r="C212"/>
      <c r="D212" s="930"/>
      <c r="E212" s="1106"/>
      <c r="F212" s="1105"/>
      <c r="G212" s="1105"/>
      <c r="H212" s="1105"/>
      <c r="I212" s="1105"/>
      <c r="J212" s="1105"/>
      <c r="K212" s="1105"/>
      <c r="L212" s="941"/>
      <c r="M212" s="934"/>
    </row>
    <row r="213" spans="1:13" ht="10.15" customHeight="1" outlineLevel="1" x14ac:dyDescent="0.2">
      <c r="A213" s="934"/>
      <c r="B213" s="1101" t="s">
        <v>1083</v>
      </c>
      <c r="C213"/>
      <c r="D213" s="913">
        <v>40</v>
      </c>
      <c r="E213" s="1106"/>
      <c r="F213" s="1105"/>
      <c r="G213" s="1105"/>
      <c r="H213" s="1105"/>
      <c r="I213" s="1105"/>
      <c r="J213" s="1105"/>
      <c r="K213" s="1105"/>
      <c r="L213" s="941"/>
      <c r="M213" s="934"/>
    </row>
    <row r="214" spans="1:13" ht="10.15" customHeight="1" outlineLevel="1" x14ac:dyDescent="0.2">
      <c r="A214" s="934"/>
      <c r="B214" s="1101" t="s">
        <v>1085</v>
      </c>
      <c r="C214"/>
      <c r="D214" s="1107">
        <v>0</v>
      </c>
      <c r="E214" s="1106"/>
      <c r="F214" s="1105"/>
      <c r="G214" s="1105"/>
      <c r="H214" s="1105">
        <f>D214</f>
        <v>0</v>
      </c>
      <c r="I214" s="1105">
        <f>H214</f>
        <v>0</v>
      </c>
      <c r="J214" s="1105">
        <f t="shared" ref="J214:L214" si="43">I214</f>
        <v>0</v>
      </c>
      <c r="K214" s="1105">
        <f t="shared" si="43"/>
        <v>0</v>
      </c>
      <c r="L214" s="1454">
        <f t="shared" si="43"/>
        <v>0</v>
      </c>
      <c r="M214" s="934"/>
    </row>
    <row r="215" spans="1:13" ht="10.15" customHeight="1" outlineLevel="1" x14ac:dyDescent="0.2">
      <c r="A215" s="934"/>
      <c r="B215" s="905" t="s">
        <v>1084</v>
      </c>
      <c r="C215"/>
      <c r="D215" s="930"/>
      <c r="E215" s="1106"/>
      <c r="F215" s="1105"/>
      <c r="G215" s="1105"/>
      <c r="H215" s="1105"/>
      <c r="I215" s="1105"/>
      <c r="J215" s="1105"/>
      <c r="K215" s="1105"/>
      <c r="L215" s="941"/>
      <c r="M215" s="934"/>
    </row>
    <row r="216" spans="1:13" ht="10.15" customHeight="1" outlineLevel="1" x14ac:dyDescent="0.2">
      <c r="A216" s="934"/>
      <c r="B216" s="1101" t="s">
        <v>1083</v>
      </c>
      <c r="C216"/>
      <c r="D216" s="913">
        <v>6</v>
      </c>
      <c r="E216" s="1106"/>
      <c r="F216" s="1105"/>
      <c r="G216" s="1105"/>
      <c r="H216" s="1105"/>
      <c r="I216" s="1105"/>
      <c r="J216" s="1105"/>
      <c r="K216" s="1105"/>
      <c r="L216" s="941"/>
      <c r="M216" s="934"/>
    </row>
    <row r="217" spans="1:13" ht="10.15" customHeight="1" outlineLevel="1" x14ac:dyDescent="0.2">
      <c r="A217" s="934"/>
      <c r="B217" s="1101" t="s">
        <v>1085</v>
      </c>
      <c r="C217"/>
      <c r="D217" s="1107">
        <v>0</v>
      </c>
      <c r="E217" s="1106"/>
      <c r="F217" s="1105"/>
      <c r="G217" s="1105"/>
      <c r="H217" s="1105">
        <f>D217</f>
        <v>0</v>
      </c>
      <c r="I217" s="1105">
        <f>H217</f>
        <v>0</v>
      </c>
      <c r="J217" s="1105">
        <f t="shared" ref="J217:L217" si="44">I217</f>
        <v>0</v>
      </c>
      <c r="K217" s="1105">
        <f t="shared" si="44"/>
        <v>0</v>
      </c>
      <c r="L217" s="1454">
        <f t="shared" si="44"/>
        <v>0</v>
      </c>
      <c r="M217" s="934"/>
    </row>
    <row r="218" spans="1:13" ht="10.15" customHeight="1" outlineLevel="1" x14ac:dyDescent="0.2">
      <c r="A218" s="934"/>
      <c r="B218" s="905" t="s">
        <v>1201</v>
      </c>
      <c r="C218"/>
      <c r="D218" s="930"/>
      <c r="E218" s="1106"/>
      <c r="F218" s="1105"/>
      <c r="G218" s="1105"/>
      <c r="H218" s="1105"/>
      <c r="I218" s="1105"/>
      <c r="J218" s="1105"/>
      <c r="K218" s="1105"/>
      <c r="L218" s="1454"/>
      <c r="M218" s="934"/>
    </row>
    <row r="219" spans="1:13" ht="10.15" customHeight="1" outlineLevel="1" x14ac:dyDescent="0.2">
      <c r="A219" s="934"/>
      <c r="B219" s="1306" t="s">
        <v>1202</v>
      </c>
      <c r="C219"/>
      <c r="D219" s="913">
        <v>4</v>
      </c>
      <c r="E219" s="1106"/>
      <c r="F219" s="1105"/>
      <c r="G219" s="1105"/>
      <c r="H219" s="1105"/>
      <c r="I219" s="1105"/>
      <c r="J219" s="1105"/>
      <c r="K219" s="1105"/>
      <c r="L219" s="1454"/>
      <c r="M219" s="934"/>
    </row>
    <row r="220" spans="1:13" ht="10.15" customHeight="1" outlineLevel="1" x14ac:dyDescent="0.2">
      <c r="A220" s="934"/>
      <c r="B220" s="1101" t="s">
        <v>1085</v>
      </c>
      <c r="C220"/>
      <c r="D220" s="1107">
        <f>SUM(H198:H198)/D219</f>
        <v>0</v>
      </c>
      <c r="E220" s="1106"/>
      <c r="F220" s="1105"/>
      <c r="G220" s="1105"/>
      <c r="H220" s="1105">
        <f>D220</f>
        <v>0</v>
      </c>
      <c r="I220" s="1105">
        <f>H220</f>
        <v>0</v>
      </c>
      <c r="J220" s="1105">
        <f t="shared" ref="J220" si="45">I220</f>
        <v>0</v>
      </c>
      <c r="K220" s="1105">
        <f>J220</f>
        <v>0</v>
      </c>
      <c r="L220" s="1454">
        <f>K220</f>
        <v>0</v>
      </c>
      <c r="M220" s="934"/>
    </row>
    <row r="221" spans="1:13" ht="10.15" customHeight="1" outlineLevel="1" x14ac:dyDescent="0.2">
      <c r="A221" s="934"/>
      <c r="B221" s="937"/>
      <c r="C221" s="934"/>
      <c r="D221" s="934"/>
      <c r="E221" s="934"/>
      <c r="F221" s="934"/>
      <c r="G221" s="934"/>
      <c r="H221" s="934"/>
      <c r="I221" s="934"/>
      <c r="J221" s="934"/>
      <c r="K221" s="934"/>
      <c r="L221" s="941"/>
      <c r="M221" s="934"/>
    </row>
    <row r="222" spans="1:13" ht="10.15" customHeight="1" outlineLevel="1" x14ac:dyDescent="0.2">
      <c r="A222" s="934"/>
      <c r="B222" s="944" t="s">
        <v>1047</v>
      </c>
      <c r="C222" s="934"/>
      <c r="D222" s="934"/>
      <c r="E222" s="934"/>
      <c r="F222" s="934"/>
      <c r="G222" s="934"/>
      <c r="H222" s="1116">
        <f>SUM(H211,H214,H217,H220)</f>
        <v>0</v>
      </c>
      <c r="I222" s="1116">
        <f>SUM(I211,I214,I217,I220)</f>
        <v>0</v>
      </c>
      <c r="J222" s="1116">
        <f>SUM(J211,J214,J217,J220)</f>
        <v>0</v>
      </c>
      <c r="K222" s="1116">
        <f>SUM(K211,K214,K217,K220)</f>
        <v>0</v>
      </c>
      <c r="L222" s="1117">
        <f>SUM(L211,L214,L217,L220)</f>
        <v>0</v>
      </c>
      <c r="M222" s="934"/>
    </row>
    <row r="223" spans="1:13" ht="10.15" customHeight="1" outlineLevel="1" x14ac:dyDescent="0.2">
      <c r="A223" s="934"/>
      <c r="B223" s="937"/>
      <c r="C223" s="934"/>
      <c r="D223" s="934"/>
      <c r="E223" s="934"/>
      <c r="F223" s="934"/>
      <c r="G223" s="934"/>
      <c r="H223" s="934"/>
      <c r="I223" s="934"/>
      <c r="J223" s="934"/>
      <c r="K223" s="934"/>
      <c r="L223" s="941"/>
      <c r="M223" s="934"/>
    </row>
    <row r="224" spans="1:13" ht="10.15" customHeight="1" outlineLevel="1" x14ac:dyDescent="0.2">
      <c r="A224" s="934"/>
      <c r="B224" s="883" t="s">
        <v>1087</v>
      </c>
      <c r="C224" s="934"/>
      <c r="D224" s="934"/>
      <c r="E224" s="934"/>
      <c r="F224" s="934"/>
      <c r="G224" s="934"/>
      <c r="H224" s="934"/>
      <c r="I224" s="934"/>
      <c r="J224" s="934"/>
      <c r="K224" s="934"/>
      <c r="L224" s="941"/>
      <c r="M224" s="934"/>
    </row>
    <row r="225" spans="1:13" outlineLevel="1" x14ac:dyDescent="0.2">
      <c r="A225" s="934"/>
      <c r="B225" s="944" t="s">
        <v>1088</v>
      </c>
      <c r="C225" s="934"/>
      <c r="D225" s="934"/>
      <c r="E225" s="934"/>
      <c r="F225" s="934"/>
      <c r="G225" s="934"/>
      <c r="H225" s="934"/>
      <c r="I225" s="934"/>
      <c r="J225" s="934"/>
      <c r="K225" s="934"/>
      <c r="L225" s="941"/>
      <c r="M225" s="934"/>
    </row>
    <row r="226" spans="1:13" outlineLevel="1" x14ac:dyDescent="0.2">
      <c r="A226" s="934"/>
      <c r="B226" s="937" t="s">
        <v>1024</v>
      </c>
      <c r="C226" s="934"/>
      <c r="D226" s="934"/>
      <c r="E226" s="934"/>
      <c r="F226" s="934"/>
      <c r="G226" s="934"/>
      <c r="H226" s="1121">
        <v>0</v>
      </c>
      <c r="I226" s="1121">
        <f>H230</f>
        <v>0</v>
      </c>
      <c r="J226" s="1121">
        <f t="shared" ref="J226:L226" si="46">I230</f>
        <v>0</v>
      </c>
      <c r="K226" s="1121">
        <f t="shared" si="46"/>
        <v>0</v>
      </c>
      <c r="L226" s="1122">
        <f t="shared" si="46"/>
        <v>0</v>
      </c>
      <c r="M226" s="934"/>
    </row>
    <row r="227" spans="1:13" outlineLevel="1" x14ac:dyDescent="0.2">
      <c r="A227" s="934"/>
      <c r="B227" s="1307" t="s">
        <v>1215</v>
      </c>
      <c r="C227" s="934"/>
      <c r="D227" s="934"/>
      <c r="E227" s="934"/>
      <c r="F227" s="934"/>
      <c r="G227" s="934"/>
      <c r="H227" s="1105">
        <f>SUM(H198:H200)</f>
        <v>0</v>
      </c>
      <c r="I227" s="1121">
        <f>I199</f>
        <v>0</v>
      </c>
      <c r="J227" s="1121">
        <f>J199</f>
        <v>0</v>
      </c>
      <c r="K227" s="1121">
        <f>K199</f>
        <v>0</v>
      </c>
      <c r="L227" s="1122">
        <f>L199</f>
        <v>0</v>
      </c>
      <c r="M227" s="934"/>
    </row>
    <row r="228" spans="1:13" outlineLevel="1" x14ac:dyDescent="0.2">
      <c r="A228" s="934"/>
      <c r="B228" s="1307" t="s">
        <v>1203</v>
      </c>
      <c r="C228" s="934"/>
      <c r="D228" s="934"/>
      <c r="E228" s="934"/>
      <c r="F228" s="934"/>
      <c r="G228" s="934"/>
      <c r="H228" s="1105">
        <v>0</v>
      </c>
      <c r="I228" s="1105">
        <v>0</v>
      </c>
      <c r="J228" s="1105">
        <v>0</v>
      </c>
      <c r="K228" s="1105">
        <v>0</v>
      </c>
      <c r="L228" s="1454">
        <v>0</v>
      </c>
      <c r="M228" s="934"/>
    </row>
    <row r="229" spans="1:13" outlineLevel="1" x14ac:dyDescent="0.2">
      <c r="A229" s="934"/>
      <c r="B229" s="1308" t="s">
        <v>1204</v>
      </c>
      <c r="C229" s="938"/>
      <c r="D229" s="938"/>
      <c r="E229" s="938"/>
      <c r="F229" s="938"/>
      <c r="G229" s="938"/>
      <c r="H229" s="1108">
        <f>-H222</f>
        <v>0</v>
      </c>
      <c r="I229" s="1108">
        <f t="shared" ref="I229:L229" si="47">-I222</f>
        <v>0</v>
      </c>
      <c r="J229" s="1108">
        <f t="shared" si="47"/>
        <v>0</v>
      </c>
      <c r="K229" s="1108">
        <f t="shared" si="47"/>
        <v>0</v>
      </c>
      <c r="L229" s="1455">
        <f t="shared" si="47"/>
        <v>0</v>
      </c>
      <c r="M229" s="934"/>
    </row>
    <row r="230" spans="1:13" ht="9.6" customHeight="1" outlineLevel="1" x14ac:dyDescent="0.2">
      <c r="A230" s="934"/>
      <c r="B230" s="944" t="s">
        <v>1089</v>
      </c>
      <c r="C230" s="934"/>
      <c r="D230" s="934"/>
      <c r="E230" s="934"/>
      <c r="F230" s="934"/>
      <c r="G230" s="934"/>
      <c r="H230" s="1116">
        <f>SUM(H226:H229)</f>
        <v>0</v>
      </c>
      <c r="I230" s="1116">
        <f>SUM(I226:I229)</f>
        <v>0</v>
      </c>
      <c r="J230" s="1116">
        <f t="shared" ref="J230:L230" si="48">SUM(J226:J229)</f>
        <v>0</v>
      </c>
      <c r="K230" s="1116">
        <f t="shared" si="48"/>
        <v>0</v>
      </c>
      <c r="L230" s="1117">
        <f t="shared" si="48"/>
        <v>0</v>
      </c>
      <c r="M230" s="934"/>
    </row>
    <row r="231" spans="1:13" outlineLevel="1" x14ac:dyDescent="0.2">
      <c r="A231" s="934"/>
      <c r="B231" s="945"/>
      <c r="C231" s="938"/>
      <c r="D231" s="938"/>
      <c r="E231" s="938"/>
      <c r="F231" s="938"/>
      <c r="G231" s="938"/>
      <c r="H231" s="938"/>
      <c r="I231" s="938"/>
      <c r="J231" s="938"/>
      <c r="K231" s="938"/>
      <c r="L231" s="946"/>
      <c r="M231" s="934"/>
    </row>
    <row r="232" spans="1:13" x14ac:dyDescent="0.2">
      <c r="A232" s="934"/>
      <c r="B232" s="934"/>
      <c r="C232" s="934"/>
      <c r="D232" s="934"/>
      <c r="E232" s="934"/>
      <c r="F232" s="934"/>
      <c r="G232" s="934"/>
      <c r="H232" s="934"/>
      <c r="I232" s="934"/>
      <c r="J232" s="934"/>
      <c r="K232" s="934"/>
      <c r="L232" s="934"/>
      <c r="M232" s="934"/>
    </row>
    <row r="233" spans="1:13" x14ac:dyDescent="0.2">
      <c r="A233" s="934"/>
      <c r="B233" s="934"/>
      <c r="C233" s="934"/>
      <c r="D233" s="934"/>
      <c r="E233" s="934"/>
      <c r="F233" s="934"/>
      <c r="G233" s="934"/>
      <c r="H233" s="934"/>
      <c r="I233" s="934"/>
      <c r="J233" s="934"/>
      <c r="K233" s="934"/>
      <c r="L233" s="934"/>
      <c r="M233" s="934"/>
    </row>
    <row r="234" spans="1:13" x14ac:dyDescent="0.2">
      <c r="A234" s="934"/>
      <c r="B234" s="934"/>
      <c r="C234" s="934"/>
      <c r="D234" s="934"/>
      <c r="E234" s="934"/>
      <c r="F234" s="934"/>
      <c r="G234" s="934"/>
      <c r="H234" s="934"/>
      <c r="I234" s="934"/>
      <c r="J234" s="934"/>
      <c r="K234" s="934"/>
      <c r="L234" s="934"/>
      <c r="M234" s="934"/>
    </row>
  </sheetData>
  <hyperlinks>
    <hyperlink ref="B174" r:id="rId1" xr:uid="{E7EA6B56-AA49-4B14-99AE-F0404CA60670}"/>
    <hyperlink ref="B173" r:id="rId2" xr:uid="{CB6A8890-0AC3-45EE-B879-ED95B2AAF981}"/>
    <hyperlink ref="B71" r:id="rId3" xr:uid="{32FE853E-F008-4B08-B114-1D4CAA94F7B2}"/>
  </hyperlinks>
  <pageMargins left="0.7" right="0.7" top="0.75" bottom="0.75" header="0.3" footer="0.3"/>
  <pageSetup orientation="portrait" r:id="rId4"/>
  <legacyDrawing r:id="rId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D2D4D-C8EB-4294-9D0B-8286CBD5A1D3}">
  <sheetPr>
    <tabColor rgb="FF00587A"/>
  </sheetPr>
  <dimension ref="A1:AU78"/>
  <sheetViews>
    <sheetView showGridLines="0" zoomScaleNormal="100" workbookViewId="0">
      <selection activeCell="H32" sqref="H32"/>
    </sheetView>
  </sheetViews>
  <sheetFormatPr defaultColWidth="0" defaultRowHeight="11.25" zeroHeight="1" outlineLevelCol="1" x14ac:dyDescent="0.2"/>
  <cols>
    <col min="1" max="1" width="1.7109375" style="934" customWidth="1"/>
    <col min="2" max="2" width="26.5703125" style="934" customWidth="1"/>
    <col min="3" max="3" width="8.85546875" style="934" customWidth="1"/>
    <col min="4" max="4" width="9.140625" style="934" customWidth="1"/>
    <col min="5" max="6" width="8.85546875" style="934" customWidth="1"/>
    <col min="7" max="7" width="10.7109375" style="934" customWidth="1"/>
    <col min="8" max="19" width="8.85546875" style="934" customWidth="1"/>
    <col min="20" max="20" width="10.28515625" style="934" bestFit="1" customWidth="1"/>
    <col min="21" max="45" width="8.85546875" style="934" hidden="1" customWidth="1" outlineLevel="1"/>
    <col min="46" max="46" width="4.7109375" style="934" customWidth="1" collapsed="1"/>
    <col min="47" max="47" width="4.7109375" style="934" customWidth="1"/>
    <col min="48" max="16384" width="8.85546875" style="934" hidden="1"/>
  </cols>
  <sheetData>
    <row r="1" spans="1:47" x14ac:dyDescent="0.2">
      <c r="A1" s="190"/>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row>
    <row r="2" spans="1:47" ht="12" x14ac:dyDescent="0.2">
      <c r="A2" s="190"/>
      <c r="B2" s="374" t="str">
        <f>CONCATENATE("Dlhová služba: "," SPV s.r.o.")</f>
        <v>Dlhová služba:  SPV s.r.o.</v>
      </c>
      <c r="C2" s="545"/>
      <c r="D2" s="190"/>
      <c r="E2" s="190"/>
      <c r="F2" s="190"/>
      <c r="G2" s="190"/>
      <c r="H2" s="694">
        <f>D14</f>
        <v>2029</v>
      </c>
      <c r="I2" s="694">
        <f>H2+1</f>
        <v>2030</v>
      </c>
      <c r="J2" s="694">
        <f t="shared" ref="J2:L2" si="0">I2+1</f>
        <v>2031</v>
      </c>
      <c r="K2" s="694">
        <f t="shared" si="0"/>
        <v>2032</v>
      </c>
      <c r="L2" s="694">
        <f t="shared" si="0"/>
        <v>2033</v>
      </c>
      <c r="M2" s="694">
        <f>L2+1</f>
        <v>2034</v>
      </c>
      <c r="N2" s="694">
        <f t="shared" ref="N2:AR2" si="1">M2+1</f>
        <v>2035</v>
      </c>
      <c r="O2" s="694">
        <f t="shared" si="1"/>
        <v>2036</v>
      </c>
      <c r="P2" s="694">
        <f t="shared" si="1"/>
        <v>2037</v>
      </c>
      <c r="Q2" s="694">
        <f t="shared" si="1"/>
        <v>2038</v>
      </c>
      <c r="R2" s="694">
        <f t="shared" si="1"/>
        <v>2039</v>
      </c>
      <c r="S2" s="694">
        <f t="shared" si="1"/>
        <v>2040</v>
      </c>
      <c r="T2" s="694">
        <f t="shared" si="1"/>
        <v>2041</v>
      </c>
      <c r="U2" s="694">
        <f t="shared" si="1"/>
        <v>2042</v>
      </c>
      <c r="V2" s="694">
        <f t="shared" si="1"/>
        <v>2043</v>
      </c>
      <c r="W2" s="694">
        <f t="shared" si="1"/>
        <v>2044</v>
      </c>
      <c r="X2" s="694">
        <f t="shared" si="1"/>
        <v>2045</v>
      </c>
      <c r="Y2" s="694">
        <f t="shared" si="1"/>
        <v>2046</v>
      </c>
      <c r="Z2" s="694">
        <f t="shared" si="1"/>
        <v>2047</v>
      </c>
      <c r="AA2" s="694">
        <f t="shared" si="1"/>
        <v>2048</v>
      </c>
      <c r="AB2" s="694">
        <f t="shared" si="1"/>
        <v>2049</v>
      </c>
      <c r="AC2" s="694">
        <f t="shared" si="1"/>
        <v>2050</v>
      </c>
      <c r="AD2" s="694">
        <f t="shared" si="1"/>
        <v>2051</v>
      </c>
      <c r="AE2" s="694">
        <f t="shared" si="1"/>
        <v>2052</v>
      </c>
      <c r="AF2" s="694">
        <f t="shared" si="1"/>
        <v>2053</v>
      </c>
      <c r="AG2" s="694">
        <f t="shared" si="1"/>
        <v>2054</v>
      </c>
      <c r="AH2" s="694">
        <f t="shared" si="1"/>
        <v>2055</v>
      </c>
      <c r="AI2" s="694">
        <f t="shared" si="1"/>
        <v>2056</v>
      </c>
      <c r="AJ2" s="694">
        <f t="shared" si="1"/>
        <v>2057</v>
      </c>
      <c r="AK2" s="694">
        <f t="shared" si="1"/>
        <v>2058</v>
      </c>
      <c r="AL2" s="694">
        <f t="shared" si="1"/>
        <v>2059</v>
      </c>
      <c r="AM2" s="694">
        <f t="shared" si="1"/>
        <v>2060</v>
      </c>
      <c r="AN2" s="694">
        <f t="shared" si="1"/>
        <v>2061</v>
      </c>
      <c r="AO2" s="694">
        <f t="shared" si="1"/>
        <v>2062</v>
      </c>
      <c r="AP2" s="694">
        <f t="shared" si="1"/>
        <v>2063</v>
      </c>
      <c r="AQ2" s="694">
        <f t="shared" si="1"/>
        <v>2064</v>
      </c>
      <c r="AR2" s="694">
        <f t="shared" si="1"/>
        <v>2065</v>
      </c>
      <c r="AS2" s="694"/>
      <c r="AT2" s="694"/>
      <c r="AU2" s="694"/>
    </row>
    <row r="3" spans="1:47" x14ac:dyDescent="0.2">
      <c r="B3" s="893" t="s">
        <v>882</v>
      </c>
      <c r="C3" s="867"/>
      <c r="D3" s="868"/>
      <c r="E3" s="928"/>
      <c r="F3" s="939"/>
      <c r="G3" s="939"/>
      <c r="H3" s="939"/>
      <c r="I3" s="939"/>
      <c r="J3" s="939"/>
      <c r="K3" s="939"/>
      <c r="L3" s="939"/>
      <c r="M3" s="939"/>
      <c r="N3" s="939"/>
      <c r="O3" s="939"/>
      <c r="P3" s="939"/>
      <c r="Q3" s="939"/>
      <c r="AT3" s="937"/>
    </row>
    <row r="4" spans="1:47" x14ac:dyDescent="0.2">
      <c r="B4" s="905" t="s">
        <v>1266</v>
      </c>
      <c r="C4" s="870"/>
      <c r="D4" s="1409" t="e">
        <f>IF(Assumptions!#REF!-SUM(Assumptions!G143:G146)&lt;0,Assumptions!#REF!,SUM(Assumptions!G143:G146))</f>
        <v>#REF!</v>
      </c>
      <c r="E4" s="930"/>
      <c r="AT4" s="937"/>
    </row>
    <row r="5" spans="1:47" x14ac:dyDescent="0.2">
      <c r="B5" s="905" t="s">
        <v>1267</v>
      </c>
      <c r="C5" s="870"/>
      <c r="D5" s="1409" t="e">
        <f>IF(Assumptions!#REF!-SUM(Assumptions!#REF!,Assumptions!#REF!)&lt;0,Assumptions!#REF!,SUM(Assumptions!#REF!,Assumptions!#REF!))</f>
        <v>#REF!</v>
      </c>
      <c r="E5" s="930"/>
      <c r="AT5" s="937"/>
    </row>
    <row r="6" spans="1:47" x14ac:dyDescent="0.2">
      <c r="B6" s="905" t="s">
        <v>1271</v>
      </c>
      <c r="C6" s="870"/>
      <c r="D6" s="1409" t="e">
        <f>SUM(Assumptions!G143:G146)-D4</f>
        <v>#REF!</v>
      </c>
      <c r="E6" s="930"/>
      <c r="AT6" s="937"/>
    </row>
    <row r="7" spans="1:47" x14ac:dyDescent="0.2">
      <c r="B7" s="905" t="s">
        <v>1268</v>
      </c>
      <c r="C7" s="870"/>
      <c r="D7" s="1409" t="e">
        <f>SUM(Assumptions!#REF!)-D5</f>
        <v>#REF!</v>
      </c>
      <c r="E7" s="930"/>
      <c r="AT7" s="937"/>
    </row>
    <row r="8" spans="1:47" x14ac:dyDescent="0.2">
      <c r="B8" s="905"/>
      <c r="C8" s="870"/>
      <c r="D8" s="1409"/>
      <c r="E8" s="930"/>
      <c r="AT8" s="937"/>
    </row>
    <row r="9" spans="1:47" x14ac:dyDescent="0.2">
      <c r="B9" s="883"/>
      <c r="C9" s="870"/>
      <c r="D9" s="1410" t="s">
        <v>1264</v>
      </c>
      <c r="E9" s="930"/>
      <c r="G9" s="1410" t="s">
        <v>1265</v>
      </c>
      <c r="J9" s="1410" t="s">
        <v>1272</v>
      </c>
      <c r="M9" s="1410" t="s">
        <v>1269</v>
      </c>
      <c r="AT9" s="937"/>
    </row>
    <row r="10" spans="1:47" x14ac:dyDescent="0.2">
      <c r="B10" s="905" t="s">
        <v>1264</v>
      </c>
      <c r="C10" s="870"/>
      <c r="D10" s="1457" t="e">
        <f>D4</f>
        <v>#REF!</v>
      </c>
      <c r="E10" s="930"/>
      <c r="F10" s="1410"/>
      <c r="G10" s="1456" t="e">
        <f>D5</f>
        <v>#REF!</v>
      </c>
      <c r="J10" s="1456" t="e">
        <f>D6</f>
        <v>#REF!</v>
      </c>
      <c r="M10" s="1456" t="e">
        <f>D7</f>
        <v>#REF!</v>
      </c>
      <c r="AT10" s="937"/>
    </row>
    <row r="11" spans="1:47" x14ac:dyDescent="0.2">
      <c r="B11" s="866" t="s">
        <v>1037</v>
      </c>
      <c r="C11" s="870"/>
      <c r="D11" s="889">
        <v>5.0000000000000001E-3</v>
      </c>
      <c r="E11" s="930"/>
      <c r="G11" s="889">
        <v>0.01</v>
      </c>
      <c r="J11" s="889">
        <v>0.06</v>
      </c>
      <c r="M11" s="889">
        <v>0.06</v>
      </c>
      <c r="AT11" s="937"/>
    </row>
    <row r="12" spans="1:47" x14ac:dyDescent="0.2">
      <c r="B12" s="1438" t="s">
        <v>1036</v>
      </c>
      <c r="C12" s="870"/>
      <c r="D12" s="889"/>
      <c r="E12" s="930"/>
      <c r="G12" s="889"/>
      <c r="J12" s="889">
        <v>0.2</v>
      </c>
      <c r="M12" s="889">
        <v>0.2</v>
      </c>
      <c r="AT12" s="937"/>
    </row>
    <row r="13" spans="1:47" x14ac:dyDescent="0.2">
      <c r="B13" s="866" t="s">
        <v>1038</v>
      </c>
      <c r="C13" s="870"/>
      <c r="D13" s="933" t="e">
        <f>D10</f>
        <v>#REF!</v>
      </c>
      <c r="E13" s="930"/>
      <c r="G13" s="933" t="e">
        <f>G10</f>
        <v>#REF!</v>
      </c>
      <c r="J13" s="933" t="e">
        <f>J10*(1-J12)</f>
        <v>#REF!</v>
      </c>
      <c r="M13" s="933" t="e">
        <f>M10*(1-M12)</f>
        <v>#REF!</v>
      </c>
      <c r="AT13" s="937"/>
    </row>
    <row r="14" spans="1:47" x14ac:dyDescent="0.2">
      <c r="B14" s="1280" t="s">
        <v>1189</v>
      </c>
      <c r="C14" s="870"/>
      <c r="D14" s="1284">
        <v>2029</v>
      </c>
      <c r="E14" s="930"/>
      <c r="G14" s="1284">
        <v>2029</v>
      </c>
      <c r="J14" s="1284">
        <v>2029</v>
      </c>
      <c r="M14" s="1284">
        <v>2029</v>
      </c>
      <c r="AT14" s="937"/>
    </row>
    <row r="15" spans="1:47" x14ac:dyDescent="0.2">
      <c r="B15" s="866" t="s">
        <v>1039</v>
      </c>
      <c r="C15" s="870"/>
      <c r="D15" s="929">
        <v>40</v>
      </c>
      <c r="E15" s="930"/>
      <c r="G15" s="929">
        <v>20</v>
      </c>
      <c r="J15" s="929">
        <v>15</v>
      </c>
      <c r="M15" s="929">
        <v>8</v>
      </c>
      <c r="AT15" s="937"/>
    </row>
    <row r="16" spans="1:47" x14ac:dyDescent="0.2">
      <c r="B16" s="1101" t="s">
        <v>1090</v>
      </c>
      <c r="C16" s="870"/>
      <c r="D16" s="929">
        <v>1</v>
      </c>
      <c r="E16" s="930"/>
      <c r="G16" s="929">
        <v>1</v>
      </c>
      <c r="J16" s="929">
        <v>1</v>
      </c>
      <c r="M16" s="929">
        <v>1</v>
      </c>
      <c r="AT16" s="937"/>
    </row>
    <row r="17" spans="2:46" x14ac:dyDescent="0.2">
      <c r="B17" s="866" t="s">
        <v>1015</v>
      </c>
      <c r="C17" s="870"/>
      <c r="D17" s="930"/>
      <c r="E17" s="930"/>
      <c r="H17" s="942">
        <v>1</v>
      </c>
      <c r="I17" s="934">
        <f>H17+1</f>
        <v>2</v>
      </c>
      <c r="J17" s="934">
        <f t="shared" ref="J17:M17" si="2">I17+1</f>
        <v>3</v>
      </c>
      <c r="K17" s="934">
        <f t="shared" si="2"/>
        <v>4</v>
      </c>
      <c r="L17" s="934">
        <f t="shared" si="2"/>
        <v>5</v>
      </c>
      <c r="M17" s="934">
        <f t="shared" si="2"/>
        <v>6</v>
      </c>
      <c r="AT17" s="937"/>
    </row>
    <row r="18" spans="2:46" x14ac:dyDescent="0.2">
      <c r="B18" s="866"/>
      <c r="C18" s="870"/>
      <c r="D18" s="930"/>
      <c r="E18" s="930"/>
      <c r="I18" s="942"/>
      <c r="AT18" s="937"/>
    </row>
    <row r="19" spans="2:46" x14ac:dyDescent="0.2">
      <c r="B19" s="866"/>
      <c r="C19" s="870"/>
      <c r="D19" s="871"/>
      <c r="E19" s="930"/>
      <c r="AT19" s="937"/>
    </row>
    <row r="20" spans="2:46" x14ac:dyDescent="0.2">
      <c r="B20" s="905" t="s">
        <v>1270</v>
      </c>
      <c r="C20" s="870"/>
      <c r="E20" s="1410" t="s">
        <v>1275</v>
      </c>
      <c r="F20" s="870"/>
      <c r="G20" s="871"/>
      <c r="H20" s="1410" t="s">
        <v>1277</v>
      </c>
      <c r="I20" s="870"/>
      <c r="K20" s="1410" t="s">
        <v>1278</v>
      </c>
      <c r="L20" s="870"/>
      <c r="AT20" s="937"/>
    </row>
    <row r="21" spans="2:46" x14ac:dyDescent="0.2">
      <c r="B21" s="866" t="s">
        <v>1043</v>
      </c>
      <c r="C21" s="931" t="e">
        <f>AS30</f>
        <v>#REF!</v>
      </c>
      <c r="E21" s="870" t="s">
        <v>1043</v>
      </c>
      <c r="F21" s="931" t="e">
        <f>Y38</f>
        <v>#REF!</v>
      </c>
      <c r="G21" s="871"/>
      <c r="H21" s="870" t="s">
        <v>1043</v>
      </c>
      <c r="I21" s="931">
        <f>T46</f>
        <v>0</v>
      </c>
      <c r="K21" s="870" t="s">
        <v>1043</v>
      </c>
      <c r="L21" s="931">
        <f>M54</f>
        <v>0</v>
      </c>
      <c r="AT21" s="937"/>
    </row>
    <row r="22" spans="2:46" x14ac:dyDescent="0.2">
      <c r="B22" s="866" t="s">
        <v>1041</v>
      </c>
      <c r="C22" s="931" t="e">
        <f>AS31</f>
        <v>#REF!</v>
      </c>
      <c r="E22" s="870" t="s">
        <v>1041</v>
      </c>
      <c r="F22" s="931" t="e">
        <f>Y39</f>
        <v>#REF!</v>
      </c>
      <c r="G22" s="1390"/>
      <c r="H22" s="870" t="s">
        <v>1041</v>
      </c>
      <c r="I22" s="931">
        <f>T47</f>
        <v>0</v>
      </c>
      <c r="K22" s="870" t="s">
        <v>1041</v>
      </c>
      <c r="L22" s="931">
        <f>M55</f>
        <v>0</v>
      </c>
      <c r="AT22" s="937"/>
    </row>
    <row r="23" spans="2:46" x14ac:dyDescent="0.2">
      <c r="B23" s="905" t="s">
        <v>1042</v>
      </c>
      <c r="C23" s="932" t="e">
        <f>SUM(C21:C22)</f>
        <v>#REF!</v>
      </c>
      <c r="E23" s="1410" t="s">
        <v>1042</v>
      </c>
      <c r="F23" s="932" t="e">
        <f>SUM(F21:F22)</f>
        <v>#REF!</v>
      </c>
      <c r="G23" s="1389"/>
      <c r="H23" s="1410" t="s">
        <v>1042</v>
      </c>
      <c r="I23" s="932">
        <f>SUM(I21:I22)</f>
        <v>0</v>
      </c>
      <c r="K23" s="1410" t="s">
        <v>1042</v>
      </c>
      <c r="L23" s="932">
        <f>SUM(L21:L22)</f>
        <v>0</v>
      </c>
      <c r="AT23" s="937"/>
    </row>
    <row r="24" spans="2:46" x14ac:dyDescent="0.2">
      <c r="B24" s="937"/>
      <c r="AT24" s="937"/>
    </row>
    <row r="25" spans="2:46" x14ac:dyDescent="0.2">
      <c r="B25" s="883" t="s">
        <v>887</v>
      </c>
      <c r="AS25" s="941"/>
    </row>
    <row r="26" spans="2:46" x14ac:dyDescent="0.2">
      <c r="B26" s="612" t="s">
        <v>1273</v>
      </c>
      <c r="C26" s="487"/>
      <c r="D26" s="487"/>
      <c r="E26" s="487"/>
      <c r="F26" s="487"/>
      <c r="AS26" s="941"/>
    </row>
    <row r="27" spans="2:46" x14ac:dyDescent="0.2">
      <c r="B27" s="598" t="s">
        <v>1052</v>
      </c>
      <c r="C27" s="988">
        <f>H2</f>
        <v>2029</v>
      </c>
      <c r="D27" s="989">
        <f>C27+1</f>
        <v>2030</v>
      </c>
      <c r="E27" s="989">
        <f t="shared" ref="E27:L29" si="3">D27+1</f>
        <v>2031</v>
      </c>
      <c r="F27" s="989">
        <f t="shared" si="3"/>
        <v>2032</v>
      </c>
      <c r="G27" s="989">
        <f t="shared" si="3"/>
        <v>2033</v>
      </c>
      <c r="H27" s="989">
        <f t="shared" ref="H27" si="4">G27+1</f>
        <v>2034</v>
      </c>
      <c r="I27" s="989">
        <f t="shared" ref="I27" si="5">H27+1</f>
        <v>2035</v>
      </c>
      <c r="J27" s="989">
        <f t="shared" ref="J27" si="6">I27+1</f>
        <v>2036</v>
      </c>
      <c r="K27" s="989">
        <f t="shared" ref="K27" si="7">J27+1</f>
        <v>2037</v>
      </c>
      <c r="L27" s="989">
        <f t="shared" ref="L27:M27" si="8">K27+1</f>
        <v>2038</v>
      </c>
      <c r="M27" s="989">
        <f t="shared" si="8"/>
        <v>2039</v>
      </c>
      <c r="N27" s="989">
        <f t="shared" ref="N27:N29" si="9">M27+1</f>
        <v>2040</v>
      </c>
      <c r="O27" s="989">
        <f t="shared" ref="O27:O29" si="10">N27+1</f>
        <v>2041</v>
      </c>
      <c r="P27" s="989">
        <f t="shared" ref="P27:P29" si="11">O27+1</f>
        <v>2042</v>
      </c>
      <c r="Q27" s="989">
        <f t="shared" ref="Q27:R29" si="12">P27+1</f>
        <v>2043</v>
      </c>
      <c r="R27" s="989">
        <f t="shared" si="12"/>
        <v>2044</v>
      </c>
      <c r="S27" s="989">
        <f t="shared" ref="S27:S29" si="13">R27+1</f>
        <v>2045</v>
      </c>
      <c r="T27" s="989">
        <f t="shared" ref="T27:T29" si="14">S27+1</f>
        <v>2046</v>
      </c>
      <c r="U27" s="989">
        <f t="shared" ref="U27:U29" si="15">T27+1</f>
        <v>2047</v>
      </c>
      <c r="V27" s="989">
        <f t="shared" ref="V27:V29" si="16">U27+1</f>
        <v>2048</v>
      </c>
      <c r="W27" s="989">
        <f t="shared" ref="W27:W29" si="17">V27+1</f>
        <v>2049</v>
      </c>
      <c r="X27" s="989">
        <f t="shared" ref="X27:X29" si="18">W27+1</f>
        <v>2050</v>
      </c>
      <c r="Y27" s="989">
        <f t="shared" ref="Y27:Y29" si="19">X27+1</f>
        <v>2051</v>
      </c>
      <c r="Z27" s="989">
        <f t="shared" ref="Z27:Z29" si="20">Y27+1</f>
        <v>2052</v>
      </c>
      <c r="AA27" s="989">
        <f t="shared" ref="AA27:AA29" si="21">Z27+1</f>
        <v>2053</v>
      </c>
      <c r="AB27" s="989">
        <f t="shared" ref="AB27:AB29" si="22">AA27+1</f>
        <v>2054</v>
      </c>
      <c r="AC27" s="989">
        <f t="shared" ref="AC27:AC29" si="23">AB27+1</f>
        <v>2055</v>
      </c>
      <c r="AD27" s="989">
        <f t="shared" ref="AD27:AD29" si="24">AC27+1</f>
        <v>2056</v>
      </c>
      <c r="AE27" s="989">
        <f t="shared" ref="AE27:AE29" si="25">AD27+1</f>
        <v>2057</v>
      </c>
      <c r="AF27" s="989">
        <f t="shared" ref="AF27:AF29" si="26">AE27+1</f>
        <v>2058</v>
      </c>
      <c r="AG27" s="989">
        <f t="shared" ref="AG27:AG29" si="27">AF27+1</f>
        <v>2059</v>
      </c>
      <c r="AH27" s="989">
        <f t="shared" ref="AH27:AH29" si="28">AG27+1</f>
        <v>2060</v>
      </c>
      <c r="AI27" s="989">
        <f t="shared" ref="AI27:AI29" si="29">AH27+1</f>
        <v>2061</v>
      </c>
      <c r="AJ27" s="989">
        <f t="shared" ref="AJ27:AJ29" si="30">AI27+1</f>
        <v>2062</v>
      </c>
      <c r="AK27" s="989">
        <f t="shared" ref="AK27:AK29" si="31">AJ27+1</f>
        <v>2063</v>
      </c>
      <c r="AL27" s="989">
        <f t="shared" ref="AL27:AL29" si="32">AK27+1</f>
        <v>2064</v>
      </c>
      <c r="AM27" s="989">
        <f t="shared" ref="AM27:AM29" si="33">AL27+1</f>
        <v>2065</v>
      </c>
      <c r="AN27" s="989">
        <f t="shared" ref="AN27:AN29" si="34">AM27+1</f>
        <v>2066</v>
      </c>
      <c r="AO27" s="989">
        <f t="shared" ref="AO27:AO29" si="35">AN27+1</f>
        <v>2067</v>
      </c>
      <c r="AP27" s="989">
        <f t="shared" ref="AP27:AP29" si="36">AO27+1</f>
        <v>2068</v>
      </c>
      <c r="AQ27" s="989">
        <f t="shared" ref="AQ27:AR29" si="37">AP27+1</f>
        <v>2069</v>
      </c>
      <c r="AR27" s="989">
        <f t="shared" ref="AR27:AR29" si="38">AQ27+1</f>
        <v>2070</v>
      </c>
      <c r="AS27" s="1110" t="s">
        <v>1042</v>
      </c>
    </row>
    <row r="28" spans="2:46" x14ac:dyDescent="0.2">
      <c r="B28" s="1220" t="s">
        <v>1182</v>
      </c>
      <c r="C28" s="942">
        <v>1</v>
      </c>
      <c r="D28" s="942">
        <v>1</v>
      </c>
      <c r="E28" s="934">
        <v>1</v>
      </c>
      <c r="F28" s="934">
        <f t="shared" ref="F28:G29" si="39">E28+1</f>
        <v>2</v>
      </c>
      <c r="G28" s="934">
        <f t="shared" si="39"/>
        <v>3</v>
      </c>
      <c r="H28" s="934">
        <f t="shared" ref="H28:H29" si="40">G28+1</f>
        <v>4</v>
      </c>
      <c r="I28" s="934">
        <f t="shared" si="3"/>
        <v>5</v>
      </c>
      <c r="J28" s="934">
        <f t="shared" si="3"/>
        <v>6</v>
      </c>
      <c r="K28" s="934">
        <f t="shared" si="3"/>
        <v>7</v>
      </c>
      <c r="L28" s="934">
        <f t="shared" si="3"/>
        <v>8</v>
      </c>
      <c r="M28" s="934">
        <f t="shared" ref="M28:M29" si="41">L28+1</f>
        <v>9</v>
      </c>
      <c r="N28" s="934">
        <f t="shared" si="9"/>
        <v>10</v>
      </c>
      <c r="O28" s="934">
        <f t="shared" si="10"/>
        <v>11</v>
      </c>
      <c r="P28" s="934">
        <f t="shared" si="11"/>
        <v>12</v>
      </c>
      <c r="Q28" s="934">
        <f t="shared" si="12"/>
        <v>13</v>
      </c>
      <c r="R28" s="934">
        <f t="shared" si="12"/>
        <v>14</v>
      </c>
      <c r="S28" s="934">
        <f t="shared" si="13"/>
        <v>15</v>
      </c>
      <c r="T28" s="934">
        <f t="shared" si="14"/>
        <v>16</v>
      </c>
      <c r="U28" s="934">
        <f t="shared" si="15"/>
        <v>17</v>
      </c>
      <c r="V28" s="934">
        <f t="shared" si="16"/>
        <v>18</v>
      </c>
      <c r="W28" s="934">
        <f t="shared" si="17"/>
        <v>19</v>
      </c>
      <c r="X28" s="934">
        <f t="shared" si="18"/>
        <v>20</v>
      </c>
      <c r="Y28" s="934">
        <f t="shared" si="19"/>
        <v>21</v>
      </c>
      <c r="Z28" s="934">
        <f t="shared" si="20"/>
        <v>22</v>
      </c>
      <c r="AA28" s="934">
        <f t="shared" si="21"/>
        <v>23</v>
      </c>
      <c r="AB28" s="934">
        <f t="shared" si="22"/>
        <v>24</v>
      </c>
      <c r="AC28" s="934">
        <f t="shared" si="23"/>
        <v>25</v>
      </c>
      <c r="AD28" s="934">
        <f t="shared" si="24"/>
        <v>26</v>
      </c>
      <c r="AE28" s="934">
        <f t="shared" si="25"/>
        <v>27</v>
      </c>
      <c r="AF28" s="934">
        <f t="shared" si="26"/>
        <v>28</v>
      </c>
      <c r="AG28" s="934">
        <f t="shared" si="27"/>
        <v>29</v>
      </c>
      <c r="AH28" s="934">
        <f t="shared" si="28"/>
        <v>30</v>
      </c>
      <c r="AI28" s="934">
        <f t="shared" si="29"/>
        <v>31</v>
      </c>
      <c r="AJ28" s="934">
        <f t="shared" si="30"/>
        <v>32</v>
      </c>
      <c r="AK28" s="934">
        <f t="shared" si="31"/>
        <v>33</v>
      </c>
      <c r="AL28" s="934">
        <f t="shared" si="32"/>
        <v>34</v>
      </c>
      <c r="AM28" s="934">
        <f t="shared" si="33"/>
        <v>35</v>
      </c>
      <c r="AN28" s="934">
        <f t="shared" si="34"/>
        <v>36</v>
      </c>
      <c r="AO28" s="934">
        <f t="shared" si="35"/>
        <v>37</v>
      </c>
      <c r="AP28" s="934">
        <f t="shared" si="36"/>
        <v>38</v>
      </c>
      <c r="AQ28" s="934">
        <f t="shared" si="37"/>
        <v>39</v>
      </c>
      <c r="AR28" s="934">
        <f t="shared" si="37"/>
        <v>40</v>
      </c>
      <c r="AS28" s="941"/>
    </row>
    <row r="29" spans="2:46" x14ac:dyDescent="0.2">
      <c r="B29" s="1220" t="s">
        <v>1183</v>
      </c>
      <c r="C29" s="1264">
        <v>0</v>
      </c>
      <c r="D29" s="1264">
        <v>0</v>
      </c>
      <c r="E29" s="942">
        <v>1</v>
      </c>
      <c r="F29" s="934">
        <f>E29+1</f>
        <v>2</v>
      </c>
      <c r="G29" s="934">
        <f t="shared" si="39"/>
        <v>3</v>
      </c>
      <c r="H29" s="934">
        <f t="shared" si="40"/>
        <v>4</v>
      </c>
      <c r="I29" s="934">
        <f t="shared" si="3"/>
        <v>5</v>
      </c>
      <c r="J29" s="934">
        <f t="shared" si="3"/>
        <v>6</v>
      </c>
      <c r="K29" s="934">
        <f t="shared" si="3"/>
        <v>7</v>
      </c>
      <c r="L29" s="934">
        <f t="shared" si="3"/>
        <v>8</v>
      </c>
      <c r="M29" s="934">
        <f t="shared" si="41"/>
        <v>9</v>
      </c>
      <c r="N29" s="934">
        <f t="shared" si="9"/>
        <v>10</v>
      </c>
      <c r="O29" s="934">
        <f t="shared" si="10"/>
        <v>11</v>
      </c>
      <c r="P29" s="934">
        <f t="shared" si="11"/>
        <v>12</v>
      </c>
      <c r="Q29" s="934">
        <f t="shared" si="12"/>
        <v>13</v>
      </c>
      <c r="R29" s="934">
        <f t="shared" si="12"/>
        <v>14</v>
      </c>
      <c r="S29" s="934">
        <f t="shared" si="13"/>
        <v>15</v>
      </c>
      <c r="T29" s="934">
        <f t="shared" si="14"/>
        <v>16</v>
      </c>
      <c r="U29" s="934">
        <f t="shared" si="15"/>
        <v>17</v>
      </c>
      <c r="V29" s="934">
        <f t="shared" si="16"/>
        <v>18</v>
      </c>
      <c r="W29" s="934">
        <f t="shared" si="17"/>
        <v>19</v>
      </c>
      <c r="X29" s="934">
        <f t="shared" si="18"/>
        <v>20</v>
      </c>
      <c r="Y29" s="934">
        <f t="shared" si="19"/>
        <v>21</v>
      </c>
      <c r="Z29" s="934">
        <f t="shared" si="20"/>
        <v>22</v>
      </c>
      <c r="AA29" s="934">
        <f t="shared" si="21"/>
        <v>23</v>
      </c>
      <c r="AB29" s="934">
        <f t="shared" si="22"/>
        <v>24</v>
      </c>
      <c r="AC29" s="934">
        <f t="shared" si="23"/>
        <v>25</v>
      </c>
      <c r="AD29" s="934">
        <f t="shared" si="24"/>
        <v>26</v>
      </c>
      <c r="AE29" s="934">
        <f t="shared" si="25"/>
        <v>27</v>
      </c>
      <c r="AF29" s="934">
        <f t="shared" si="26"/>
        <v>28</v>
      </c>
      <c r="AG29" s="934">
        <f t="shared" si="27"/>
        <v>29</v>
      </c>
      <c r="AH29" s="934">
        <f t="shared" si="28"/>
        <v>30</v>
      </c>
      <c r="AI29" s="934">
        <f t="shared" si="29"/>
        <v>31</v>
      </c>
      <c r="AJ29" s="934">
        <f t="shared" si="30"/>
        <v>32</v>
      </c>
      <c r="AK29" s="934">
        <f t="shared" si="31"/>
        <v>33</v>
      </c>
      <c r="AL29" s="934">
        <f t="shared" si="32"/>
        <v>34</v>
      </c>
      <c r="AM29" s="934">
        <f t="shared" si="33"/>
        <v>35</v>
      </c>
      <c r="AN29" s="934">
        <f t="shared" si="34"/>
        <v>36</v>
      </c>
      <c r="AO29" s="934">
        <f t="shared" si="35"/>
        <v>37</v>
      </c>
      <c r="AP29" s="934">
        <f t="shared" si="36"/>
        <v>38</v>
      </c>
      <c r="AQ29" s="934">
        <f t="shared" si="37"/>
        <v>39</v>
      </c>
      <c r="AR29" s="934">
        <f t="shared" si="38"/>
        <v>40</v>
      </c>
      <c r="AS29" s="941"/>
    </row>
    <row r="30" spans="2:46" x14ac:dyDescent="0.2">
      <c r="B30" s="892" t="s">
        <v>1043</v>
      </c>
      <c r="C30" s="1264">
        <v>0</v>
      </c>
      <c r="D30" s="1264">
        <v>0</v>
      </c>
      <c r="E30" s="935" t="e">
        <f>-PPMT($D$11,E29,$D$15,$D$13)</f>
        <v>#REF!</v>
      </c>
      <c r="F30" s="935" t="e">
        <f>-PPMT($D$11,F29,$D$15,$D$13)</f>
        <v>#REF!</v>
      </c>
      <c r="G30" s="935" t="e">
        <f t="shared" ref="G30:R30" si="42">-PPMT($D$11,G29,$D$15,$D$13)</f>
        <v>#REF!</v>
      </c>
      <c r="H30" s="935" t="e">
        <f t="shared" si="42"/>
        <v>#REF!</v>
      </c>
      <c r="I30" s="935" t="e">
        <f t="shared" si="42"/>
        <v>#REF!</v>
      </c>
      <c r="J30" s="935" t="e">
        <f t="shared" si="42"/>
        <v>#REF!</v>
      </c>
      <c r="K30" s="935" t="e">
        <f t="shared" si="42"/>
        <v>#REF!</v>
      </c>
      <c r="L30" s="935" t="e">
        <f t="shared" si="42"/>
        <v>#REF!</v>
      </c>
      <c r="M30" s="935" t="e">
        <f t="shared" si="42"/>
        <v>#REF!</v>
      </c>
      <c r="N30" s="935" t="e">
        <f t="shared" si="42"/>
        <v>#REF!</v>
      </c>
      <c r="O30" s="935" t="e">
        <f t="shared" si="42"/>
        <v>#REF!</v>
      </c>
      <c r="P30" s="935" t="e">
        <f t="shared" si="42"/>
        <v>#REF!</v>
      </c>
      <c r="Q30" s="935" t="e">
        <f t="shared" si="42"/>
        <v>#REF!</v>
      </c>
      <c r="R30" s="935" t="e">
        <f t="shared" si="42"/>
        <v>#REF!</v>
      </c>
      <c r="S30" s="935" t="e">
        <f t="shared" ref="S30:AQ30" si="43">-PPMT($D$11,S29,$D$15,$D$13)</f>
        <v>#REF!</v>
      </c>
      <c r="T30" s="935" t="e">
        <f t="shared" si="43"/>
        <v>#REF!</v>
      </c>
      <c r="U30" s="935" t="e">
        <f t="shared" si="43"/>
        <v>#REF!</v>
      </c>
      <c r="V30" s="935" t="e">
        <f t="shared" si="43"/>
        <v>#REF!</v>
      </c>
      <c r="W30" s="935" t="e">
        <f t="shared" si="43"/>
        <v>#REF!</v>
      </c>
      <c r="X30" s="935" t="e">
        <f t="shared" si="43"/>
        <v>#REF!</v>
      </c>
      <c r="Y30" s="935" t="e">
        <f t="shared" si="43"/>
        <v>#REF!</v>
      </c>
      <c r="Z30" s="935" t="e">
        <f t="shared" si="43"/>
        <v>#REF!</v>
      </c>
      <c r="AA30" s="935" t="e">
        <f t="shared" si="43"/>
        <v>#REF!</v>
      </c>
      <c r="AB30" s="935" t="e">
        <f t="shared" si="43"/>
        <v>#REF!</v>
      </c>
      <c r="AC30" s="935" t="e">
        <f t="shared" si="43"/>
        <v>#REF!</v>
      </c>
      <c r="AD30" s="935" t="e">
        <f t="shared" si="43"/>
        <v>#REF!</v>
      </c>
      <c r="AE30" s="935" t="e">
        <f t="shared" si="43"/>
        <v>#REF!</v>
      </c>
      <c r="AF30" s="935" t="e">
        <f t="shared" si="43"/>
        <v>#REF!</v>
      </c>
      <c r="AG30" s="935" t="e">
        <f t="shared" si="43"/>
        <v>#REF!</v>
      </c>
      <c r="AH30" s="935" t="e">
        <f t="shared" si="43"/>
        <v>#REF!</v>
      </c>
      <c r="AI30" s="935" t="e">
        <f t="shared" si="43"/>
        <v>#REF!</v>
      </c>
      <c r="AJ30" s="935" t="e">
        <f t="shared" si="43"/>
        <v>#REF!</v>
      </c>
      <c r="AK30" s="935" t="e">
        <f t="shared" si="43"/>
        <v>#REF!</v>
      </c>
      <c r="AL30" s="935" t="e">
        <f t="shared" si="43"/>
        <v>#REF!</v>
      </c>
      <c r="AM30" s="935" t="e">
        <f t="shared" si="43"/>
        <v>#REF!</v>
      </c>
      <c r="AN30" s="935" t="e">
        <f t="shared" si="43"/>
        <v>#REF!</v>
      </c>
      <c r="AO30" s="935" t="e">
        <f t="shared" si="43"/>
        <v>#REF!</v>
      </c>
      <c r="AP30" s="935" t="e">
        <f t="shared" si="43"/>
        <v>#REF!</v>
      </c>
      <c r="AQ30" s="935" t="e">
        <f t="shared" si="43"/>
        <v>#REF!</v>
      </c>
      <c r="AR30" s="935" t="e">
        <f>-PPMT($D$11,AR29,$D$15,$D$13)</f>
        <v>#REF!</v>
      </c>
      <c r="AS30" s="1391" t="e">
        <f>SUM(C30:AR30)</f>
        <v>#REF!</v>
      </c>
    </row>
    <row r="31" spans="2:46" x14ac:dyDescent="0.2">
      <c r="B31" s="892" t="s">
        <v>1041</v>
      </c>
      <c r="C31" s="936" t="e">
        <f>-IPMT($D$11,C28,$D$15,$D$13)/12*(12-$D$16+1)</f>
        <v>#REF!</v>
      </c>
      <c r="D31" s="936" t="e">
        <f>-IPMT($D$11,D28,$D$15,$D$13)</f>
        <v>#REF!</v>
      </c>
      <c r="E31" s="936" t="e">
        <f>-IPMT($D$11,E28,$D$15,$D$13)</f>
        <v>#REF!</v>
      </c>
      <c r="F31" s="936" t="e">
        <f>-IPMT($D$11,F28,$D$15,$D$13)</f>
        <v>#REF!</v>
      </c>
      <c r="G31" s="936" t="e">
        <f t="shared" ref="G31:Q31" si="44">-IPMT($D$11,G28,$D$15,$D$13)</f>
        <v>#REF!</v>
      </c>
      <c r="H31" s="936" t="e">
        <f t="shared" si="44"/>
        <v>#REF!</v>
      </c>
      <c r="I31" s="936" t="e">
        <f t="shared" si="44"/>
        <v>#REF!</v>
      </c>
      <c r="J31" s="936" t="e">
        <f t="shared" si="44"/>
        <v>#REF!</v>
      </c>
      <c r="K31" s="936" t="e">
        <f t="shared" si="44"/>
        <v>#REF!</v>
      </c>
      <c r="L31" s="936" t="e">
        <f t="shared" si="44"/>
        <v>#REF!</v>
      </c>
      <c r="M31" s="936" t="e">
        <f t="shared" si="44"/>
        <v>#REF!</v>
      </c>
      <c r="N31" s="936" t="e">
        <f t="shared" si="44"/>
        <v>#REF!</v>
      </c>
      <c r="O31" s="936" t="e">
        <f t="shared" si="44"/>
        <v>#REF!</v>
      </c>
      <c r="P31" s="936" t="e">
        <f t="shared" si="44"/>
        <v>#REF!</v>
      </c>
      <c r="Q31" s="936" t="e">
        <f t="shared" si="44"/>
        <v>#REF!</v>
      </c>
      <c r="R31" s="936" t="e">
        <f t="shared" ref="R31" si="45">-IPMT($D$11,R28,$D$15,$D$13)</f>
        <v>#REF!</v>
      </c>
      <c r="S31" s="936" t="e">
        <f t="shared" ref="S31:AR31" si="46">-IPMT($D$11,S28,$D$15,$D$13)</f>
        <v>#REF!</v>
      </c>
      <c r="T31" s="936" t="e">
        <f t="shared" si="46"/>
        <v>#REF!</v>
      </c>
      <c r="U31" s="936" t="e">
        <f t="shared" si="46"/>
        <v>#REF!</v>
      </c>
      <c r="V31" s="936" t="e">
        <f t="shared" si="46"/>
        <v>#REF!</v>
      </c>
      <c r="W31" s="936" t="e">
        <f t="shared" si="46"/>
        <v>#REF!</v>
      </c>
      <c r="X31" s="936" t="e">
        <f t="shared" si="46"/>
        <v>#REF!</v>
      </c>
      <c r="Y31" s="936" t="e">
        <f t="shared" si="46"/>
        <v>#REF!</v>
      </c>
      <c r="Z31" s="936" t="e">
        <f t="shared" si="46"/>
        <v>#REF!</v>
      </c>
      <c r="AA31" s="936" t="e">
        <f t="shared" si="46"/>
        <v>#REF!</v>
      </c>
      <c r="AB31" s="936" t="e">
        <f t="shared" si="46"/>
        <v>#REF!</v>
      </c>
      <c r="AC31" s="936" t="e">
        <f t="shared" si="46"/>
        <v>#REF!</v>
      </c>
      <c r="AD31" s="936" t="e">
        <f t="shared" si="46"/>
        <v>#REF!</v>
      </c>
      <c r="AE31" s="936" t="e">
        <f t="shared" si="46"/>
        <v>#REF!</v>
      </c>
      <c r="AF31" s="936" t="e">
        <f t="shared" si="46"/>
        <v>#REF!</v>
      </c>
      <c r="AG31" s="936" t="e">
        <f t="shared" si="46"/>
        <v>#REF!</v>
      </c>
      <c r="AH31" s="936" t="e">
        <f t="shared" si="46"/>
        <v>#REF!</v>
      </c>
      <c r="AI31" s="936" t="e">
        <f t="shared" si="46"/>
        <v>#REF!</v>
      </c>
      <c r="AJ31" s="936" t="e">
        <f t="shared" si="46"/>
        <v>#REF!</v>
      </c>
      <c r="AK31" s="936" t="e">
        <f t="shared" si="46"/>
        <v>#REF!</v>
      </c>
      <c r="AL31" s="936" t="e">
        <f t="shared" si="46"/>
        <v>#REF!</v>
      </c>
      <c r="AM31" s="936" t="e">
        <f t="shared" si="46"/>
        <v>#REF!</v>
      </c>
      <c r="AN31" s="936" t="e">
        <f t="shared" si="46"/>
        <v>#REF!</v>
      </c>
      <c r="AO31" s="936" t="e">
        <f t="shared" si="46"/>
        <v>#REF!</v>
      </c>
      <c r="AP31" s="936" t="e">
        <f t="shared" si="46"/>
        <v>#REF!</v>
      </c>
      <c r="AQ31" s="936" t="e">
        <f t="shared" si="46"/>
        <v>#REF!</v>
      </c>
      <c r="AR31" s="936" t="e">
        <f t="shared" si="46"/>
        <v>#REF!</v>
      </c>
      <c r="AS31" s="1458" t="e">
        <f>SUM(C31:AR31)</f>
        <v>#REF!</v>
      </c>
    </row>
    <row r="32" spans="2:46" x14ac:dyDescent="0.2">
      <c r="B32" s="944" t="s">
        <v>1044</v>
      </c>
      <c r="C32" s="1279" t="e">
        <f>SUM(C30:C31)</f>
        <v>#REF!</v>
      </c>
      <c r="D32" s="1279" t="e">
        <f t="shared" ref="D32:Q32" si="47">SUM(D30:D31)</f>
        <v>#REF!</v>
      </c>
      <c r="E32" s="1279" t="e">
        <f t="shared" si="47"/>
        <v>#REF!</v>
      </c>
      <c r="F32" s="1279" t="e">
        <f t="shared" si="47"/>
        <v>#REF!</v>
      </c>
      <c r="G32" s="1279" t="e">
        <f t="shared" si="47"/>
        <v>#REF!</v>
      </c>
      <c r="H32" s="1279" t="e">
        <f t="shared" si="47"/>
        <v>#REF!</v>
      </c>
      <c r="I32" s="1279" t="e">
        <f t="shared" si="47"/>
        <v>#REF!</v>
      </c>
      <c r="J32" s="1279" t="e">
        <f t="shared" si="47"/>
        <v>#REF!</v>
      </c>
      <c r="K32" s="1279" t="e">
        <f t="shared" si="47"/>
        <v>#REF!</v>
      </c>
      <c r="L32" s="1279" t="e">
        <f t="shared" si="47"/>
        <v>#REF!</v>
      </c>
      <c r="M32" s="1279" t="e">
        <f t="shared" si="47"/>
        <v>#REF!</v>
      </c>
      <c r="N32" s="1279" t="e">
        <f t="shared" si="47"/>
        <v>#REF!</v>
      </c>
      <c r="O32" s="1279" t="e">
        <f t="shared" si="47"/>
        <v>#REF!</v>
      </c>
      <c r="P32" s="1279" t="e">
        <f t="shared" si="47"/>
        <v>#REF!</v>
      </c>
      <c r="Q32" s="1279" t="e">
        <f t="shared" si="47"/>
        <v>#REF!</v>
      </c>
      <c r="R32" s="1279" t="e">
        <f t="shared" ref="R32" si="48">SUM(R30:R31)</f>
        <v>#REF!</v>
      </c>
      <c r="S32" s="1279" t="e">
        <f t="shared" ref="S32:AR32" si="49">SUM(S30:S31)</f>
        <v>#REF!</v>
      </c>
      <c r="T32" s="1279" t="e">
        <f t="shared" si="49"/>
        <v>#REF!</v>
      </c>
      <c r="U32" s="1279" t="e">
        <f t="shared" si="49"/>
        <v>#REF!</v>
      </c>
      <c r="V32" s="1279" t="e">
        <f t="shared" si="49"/>
        <v>#REF!</v>
      </c>
      <c r="W32" s="1279" t="e">
        <f t="shared" si="49"/>
        <v>#REF!</v>
      </c>
      <c r="X32" s="1279" t="e">
        <f t="shared" si="49"/>
        <v>#REF!</v>
      </c>
      <c r="Y32" s="1279" t="e">
        <f t="shared" si="49"/>
        <v>#REF!</v>
      </c>
      <c r="Z32" s="1279" t="e">
        <f t="shared" si="49"/>
        <v>#REF!</v>
      </c>
      <c r="AA32" s="1279" t="e">
        <f t="shared" si="49"/>
        <v>#REF!</v>
      </c>
      <c r="AB32" s="1279" t="e">
        <f t="shared" si="49"/>
        <v>#REF!</v>
      </c>
      <c r="AC32" s="1279" t="e">
        <f t="shared" si="49"/>
        <v>#REF!</v>
      </c>
      <c r="AD32" s="1279" t="e">
        <f t="shared" si="49"/>
        <v>#REF!</v>
      </c>
      <c r="AE32" s="1279" t="e">
        <f t="shared" si="49"/>
        <v>#REF!</v>
      </c>
      <c r="AF32" s="1279" t="e">
        <f t="shared" si="49"/>
        <v>#REF!</v>
      </c>
      <c r="AG32" s="1279" t="e">
        <f t="shared" si="49"/>
        <v>#REF!</v>
      </c>
      <c r="AH32" s="1279" t="e">
        <f t="shared" si="49"/>
        <v>#REF!</v>
      </c>
      <c r="AI32" s="1279" t="e">
        <f t="shared" si="49"/>
        <v>#REF!</v>
      </c>
      <c r="AJ32" s="1279" t="e">
        <f t="shared" si="49"/>
        <v>#REF!</v>
      </c>
      <c r="AK32" s="1279" t="e">
        <f t="shared" si="49"/>
        <v>#REF!</v>
      </c>
      <c r="AL32" s="1279" t="e">
        <f t="shared" si="49"/>
        <v>#REF!</v>
      </c>
      <c r="AM32" s="1279" t="e">
        <f t="shared" si="49"/>
        <v>#REF!</v>
      </c>
      <c r="AN32" s="1279" t="e">
        <f t="shared" si="49"/>
        <v>#REF!</v>
      </c>
      <c r="AO32" s="1279" t="e">
        <f t="shared" si="49"/>
        <v>#REF!</v>
      </c>
      <c r="AP32" s="1279" t="e">
        <f t="shared" si="49"/>
        <v>#REF!</v>
      </c>
      <c r="AQ32" s="1279" t="e">
        <f t="shared" si="49"/>
        <v>#REF!</v>
      </c>
      <c r="AR32" s="1279" t="e">
        <f t="shared" si="49"/>
        <v>#REF!</v>
      </c>
      <c r="AS32" s="1392" t="e">
        <f>SUM(AS30:AS31)</f>
        <v>#REF!</v>
      </c>
    </row>
    <row r="33" spans="2:45" x14ac:dyDescent="0.2">
      <c r="B33" s="937"/>
      <c r="D33" s="935"/>
      <c r="E33" s="935"/>
      <c r="F33" s="935"/>
      <c r="AS33" s="941"/>
    </row>
    <row r="34" spans="2:45" x14ac:dyDescent="0.2">
      <c r="B34" s="612" t="s">
        <v>1274</v>
      </c>
      <c r="D34" s="935"/>
      <c r="E34" s="935"/>
      <c r="F34" s="935"/>
      <c r="AS34" s="941"/>
    </row>
    <row r="35" spans="2:45" x14ac:dyDescent="0.2">
      <c r="B35" s="598" t="s">
        <v>1052</v>
      </c>
      <c r="C35" s="1412">
        <f>C27</f>
        <v>2029</v>
      </c>
      <c r="D35" s="1413">
        <f t="shared" ref="D35:S35" si="50">D27</f>
        <v>2030</v>
      </c>
      <c r="E35" s="1413">
        <f t="shared" si="50"/>
        <v>2031</v>
      </c>
      <c r="F35" s="1413">
        <f t="shared" si="50"/>
        <v>2032</v>
      </c>
      <c r="G35" s="1413">
        <f t="shared" si="50"/>
        <v>2033</v>
      </c>
      <c r="H35" s="1413">
        <f t="shared" si="50"/>
        <v>2034</v>
      </c>
      <c r="I35" s="1413">
        <f t="shared" si="50"/>
        <v>2035</v>
      </c>
      <c r="J35" s="1413">
        <f t="shared" si="50"/>
        <v>2036</v>
      </c>
      <c r="K35" s="1413">
        <f t="shared" si="50"/>
        <v>2037</v>
      </c>
      <c r="L35" s="1413">
        <f t="shared" si="50"/>
        <v>2038</v>
      </c>
      <c r="M35" s="1413">
        <f t="shared" si="50"/>
        <v>2039</v>
      </c>
      <c r="N35" s="1413">
        <f t="shared" si="50"/>
        <v>2040</v>
      </c>
      <c r="O35" s="1413">
        <f t="shared" si="50"/>
        <v>2041</v>
      </c>
      <c r="P35" s="1413">
        <f t="shared" si="50"/>
        <v>2042</v>
      </c>
      <c r="Q35" s="1413">
        <f t="shared" si="50"/>
        <v>2043</v>
      </c>
      <c r="R35" s="1413">
        <f t="shared" si="50"/>
        <v>2044</v>
      </c>
      <c r="S35" s="1413">
        <f t="shared" si="50"/>
        <v>2045</v>
      </c>
      <c r="T35" s="1413">
        <f t="shared" ref="T35:W35" si="51">T27</f>
        <v>2046</v>
      </c>
      <c r="U35" s="1413">
        <f t="shared" si="51"/>
        <v>2047</v>
      </c>
      <c r="V35" s="1413">
        <f t="shared" si="51"/>
        <v>2048</v>
      </c>
      <c r="W35" s="1413">
        <f t="shared" si="51"/>
        <v>2049</v>
      </c>
      <c r="X35" s="1413">
        <f t="shared" ref="X35" si="52">X27</f>
        <v>2050</v>
      </c>
      <c r="Y35" s="1110" t="s">
        <v>1042</v>
      </c>
      <c r="AS35" s="941"/>
    </row>
    <row r="36" spans="2:45" x14ac:dyDescent="0.2">
      <c r="B36" s="1220" t="s">
        <v>1182</v>
      </c>
      <c r="C36" s="942">
        <v>1</v>
      </c>
      <c r="D36" s="942">
        <v>1</v>
      </c>
      <c r="E36" s="934">
        <v>1</v>
      </c>
      <c r="F36" s="1411">
        <f>E36+1</f>
        <v>2</v>
      </c>
      <c r="G36" s="1411">
        <f t="shared" ref="G36:S36" si="53">F36+1</f>
        <v>3</v>
      </c>
      <c r="H36" s="1411">
        <f t="shared" si="53"/>
        <v>4</v>
      </c>
      <c r="I36" s="1411">
        <f t="shared" si="53"/>
        <v>5</v>
      </c>
      <c r="J36" s="1411">
        <f t="shared" si="53"/>
        <v>6</v>
      </c>
      <c r="K36" s="1411">
        <f t="shared" si="53"/>
        <v>7</v>
      </c>
      <c r="L36" s="1411">
        <f t="shared" si="53"/>
        <v>8</v>
      </c>
      <c r="M36" s="1411">
        <f t="shared" si="53"/>
        <v>9</v>
      </c>
      <c r="N36" s="1411">
        <f t="shared" si="53"/>
        <v>10</v>
      </c>
      <c r="O36" s="1411">
        <f t="shared" si="53"/>
        <v>11</v>
      </c>
      <c r="P36" s="1411">
        <f t="shared" si="53"/>
        <v>12</v>
      </c>
      <c r="Q36" s="1411">
        <f t="shared" si="53"/>
        <v>13</v>
      </c>
      <c r="R36" s="1411">
        <f t="shared" si="53"/>
        <v>14</v>
      </c>
      <c r="S36" s="1411">
        <f t="shared" si="53"/>
        <v>15</v>
      </c>
      <c r="T36" s="1411">
        <f t="shared" ref="T36:T37" si="54">S36+1</f>
        <v>16</v>
      </c>
      <c r="U36" s="1411">
        <f t="shared" ref="U36:U37" si="55">T36+1</f>
        <v>17</v>
      </c>
      <c r="V36" s="1411">
        <f t="shared" ref="V36:V37" si="56">U36+1</f>
        <v>18</v>
      </c>
      <c r="W36" s="1411">
        <f t="shared" ref="W36:X37" si="57">V36+1</f>
        <v>19</v>
      </c>
      <c r="X36" s="1411">
        <v>20</v>
      </c>
      <c r="Y36" s="941"/>
      <c r="AS36" s="941"/>
    </row>
    <row r="37" spans="2:45" x14ac:dyDescent="0.2">
      <c r="B37" s="1220" t="s">
        <v>1183</v>
      </c>
      <c r="C37" s="1264">
        <v>0</v>
      </c>
      <c r="D37" s="1264">
        <v>0</v>
      </c>
      <c r="E37" s="942">
        <v>1</v>
      </c>
      <c r="F37" s="1411">
        <f>E37+1</f>
        <v>2</v>
      </c>
      <c r="G37" s="1411">
        <f t="shared" ref="G37:S37" si="58">F37+1</f>
        <v>3</v>
      </c>
      <c r="H37" s="1411">
        <f t="shared" si="58"/>
        <v>4</v>
      </c>
      <c r="I37" s="1411">
        <f t="shared" si="58"/>
        <v>5</v>
      </c>
      <c r="J37" s="1411">
        <f t="shared" si="58"/>
        <v>6</v>
      </c>
      <c r="K37" s="1411">
        <f t="shared" si="58"/>
        <v>7</v>
      </c>
      <c r="L37" s="1411">
        <f t="shared" si="58"/>
        <v>8</v>
      </c>
      <c r="M37" s="1411">
        <f t="shared" si="58"/>
        <v>9</v>
      </c>
      <c r="N37" s="1411">
        <f t="shared" si="58"/>
        <v>10</v>
      </c>
      <c r="O37" s="1411">
        <f t="shared" si="58"/>
        <v>11</v>
      </c>
      <c r="P37" s="1411">
        <f t="shared" si="58"/>
        <v>12</v>
      </c>
      <c r="Q37" s="1411">
        <f t="shared" si="58"/>
        <v>13</v>
      </c>
      <c r="R37" s="1411">
        <f t="shared" si="58"/>
        <v>14</v>
      </c>
      <c r="S37" s="1411">
        <f t="shared" si="58"/>
        <v>15</v>
      </c>
      <c r="T37" s="1411">
        <f t="shared" si="54"/>
        <v>16</v>
      </c>
      <c r="U37" s="1411">
        <f t="shared" si="55"/>
        <v>17</v>
      </c>
      <c r="V37" s="1411">
        <f t="shared" si="56"/>
        <v>18</v>
      </c>
      <c r="W37" s="1411">
        <f t="shared" si="57"/>
        <v>19</v>
      </c>
      <c r="X37" s="1411">
        <f t="shared" si="57"/>
        <v>20</v>
      </c>
      <c r="Y37" s="941"/>
      <c r="AS37" s="941"/>
    </row>
    <row r="38" spans="2:45" x14ac:dyDescent="0.2">
      <c r="B38" s="892" t="s">
        <v>1043</v>
      </c>
      <c r="C38" s="1264">
        <v>0</v>
      </c>
      <c r="D38" s="1264">
        <v>0</v>
      </c>
      <c r="E38" s="935" t="e">
        <f>-PPMT($G$11,E37,$G$15,$G$13)</f>
        <v>#REF!</v>
      </c>
      <c r="F38" s="935" t="e">
        <f t="shared" ref="F38:S38" si="59">-PPMT($G$11,F37,$G$15,$G$13)</f>
        <v>#REF!</v>
      </c>
      <c r="G38" s="935" t="e">
        <f t="shared" si="59"/>
        <v>#REF!</v>
      </c>
      <c r="H38" s="935" t="e">
        <f t="shared" si="59"/>
        <v>#REF!</v>
      </c>
      <c r="I38" s="935" t="e">
        <f t="shared" si="59"/>
        <v>#REF!</v>
      </c>
      <c r="J38" s="935" t="e">
        <f t="shared" si="59"/>
        <v>#REF!</v>
      </c>
      <c r="K38" s="935" t="e">
        <f t="shared" si="59"/>
        <v>#REF!</v>
      </c>
      <c r="L38" s="935" t="e">
        <f t="shared" si="59"/>
        <v>#REF!</v>
      </c>
      <c r="M38" s="935" t="e">
        <f t="shared" si="59"/>
        <v>#REF!</v>
      </c>
      <c r="N38" s="935" t="e">
        <f t="shared" si="59"/>
        <v>#REF!</v>
      </c>
      <c r="O38" s="935" t="e">
        <f t="shared" si="59"/>
        <v>#REF!</v>
      </c>
      <c r="P38" s="935" t="e">
        <f t="shared" si="59"/>
        <v>#REF!</v>
      </c>
      <c r="Q38" s="935" t="e">
        <f t="shared" si="59"/>
        <v>#REF!</v>
      </c>
      <c r="R38" s="935" t="e">
        <f t="shared" si="59"/>
        <v>#REF!</v>
      </c>
      <c r="S38" s="935" t="e">
        <f t="shared" si="59"/>
        <v>#REF!</v>
      </c>
      <c r="T38" s="935" t="e">
        <f t="shared" ref="T38:W38" si="60">-PPMT($G$11,T37,$G$15,$G$13)</f>
        <v>#REF!</v>
      </c>
      <c r="U38" s="935" t="e">
        <f t="shared" si="60"/>
        <v>#REF!</v>
      </c>
      <c r="V38" s="935" t="e">
        <f t="shared" si="60"/>
        <v>#REF!</v>
      </c>
      <c r="W38" s="935" t="e">
        <f t="shared" si="60"/>
        <v>#REF!</v>
      </c>
      <c r="X38" s="935" t="e">
        <f t="shared" ref="X38" si="61">-PPMT($G$11,X37,$G$15,$G$13)</f>
        <v>#REF!</v>
      </c>
      <c r="Y38" s="1391" t="e">
        <f>SUM(C38:X38)</f>
        <v>#REF!</v>
      </c>
      <c r="AS38" s="941"/>
    </row>
    <row r="39" spans="2:45" x14ac:dyDescent="0.2">
      <c r="B39" s="892" t="s">
        <v>1041</v>
      </c>
      <c r="C39" s="936" t="e">
        <f>-IPMT($G$11,C36,$G$15,$G$13)</f>
        <v>#REF!</v>
      </c>
      <c r="D39" s="936" t="e">
        <f t="shared" ref="D39" si="62">-IPMT($G$11,D36,$G$15,$G$13)</f>
        <v>#REF!</v>
      </c>
      <c r="E39" s="936" t="e">
        <f>-IPMT($G$11,E36,$G$15,$G$13)</f>
        <v>#REF!</v>
      </c>
      <c r="F39" s="936" t="e">
        <f t="shared" ref="F39:S39" si="63">-IPMT($G$11,F36,$G$15,$G$13)</f>
        <v>#REF!</v>
      </c>
      <c r="G39" s="936" t="e">
        <f t="shared" si="63"/>
        <v>#REF!</v>
      </c>
      <c r="H39" s="936" t="e">
        <f t="shared" si="63"/>
        <v>#REF!</v>
      </c>
      <c r="I39" s="936" t="e">
        <f t="shared" si="63"/>
        <v>#REF!</v>
      </c>
      <c r="J39" s="936" t="e">
        <f t="shared" si="63"/>
        <v>#REF!</v>
      </c>
      <c r="K39" s="936" t="e">
        <f t="shared" si="63"/>
        <v>#REF!</v>
      </c>
      <c r="L39" s="936" t="e">
        <f t="shared" si="63"/>
        <v>#REF!</v>
      </c>
      <c r="M39" s="936" t="e">
        <f t="shared" si="63"/>
        <v>#REF!</v>
      </c>
      <c r="N39" s="936" t="e">
        <f t="shared" si="63"/>
        <v>#REF!</v>
      </c>
      <c r="O39" s="936" t="e">
        <f t="shared" si="63"/>
        <v>#REF!</v>
      </c>
      <c r="P39" s="936" t="e">
        <f t="shared" si="63"/>
        <v>#REF!</v>
      </c>
      <c r="Q39" s="936" t="e">
        <f t="shared" si="63"/>
        <v>#REF!</v>
      </c>
      <c r="R39" s="936" t="e">
        <f t="shared" si="63"/>
        <v>#REF!</v>
      </c>
      <c r="S39" s="936" t="e">
        <f t="shared" si="63"/>
        <v>#REF!</v>
      </c>
      <c r="T39" s="936" t="e">
        <f t="shared" ref="T39:W39" si="64">-IPMT($G$11,T36,$G$15,$G$13)</f>
        <v>#REF!</v>
      </c>
      <c r="U39" s="936" t="e">
        <f t="shared" si="64"/>
        <v>#REF!</v>
      </c>
      <c r="V39" s="936" t="e">
        <f t="shared" si="64"/>
        <v>#REF!</v>
      </c>
      <c r="W39" s="936" t="e">
        <f t="shared" si="64"/>
        <v>#REF!</v>
      </c>
      <c r="X39" s="936" t="e">
        <f t="shared" ref="X39" si="65">-IPMT($G$11,X36,$G$15,$G$13)</f>
        <v>#REF!</v>
      </c>
      <c r="Y39" s="1458" t="e">
        <f>SUM(C39:X39)</f>
        <v>#REF!</v>
      </c>
      <c r="AS39" s="941"/>
    </row>
    <row r="40" spans="2:45" x14ac:dyDescent="0.2">
      <c r="B40" s="944" t="s">
        <v>1044</v>
      </c>
      <c r="C40" s="1279" t="e">
        <f>SUM(C38:C39)</f>
        <v>#REF!</v>
      </c>
      <c r="D40" s="1279" t="e">
        <f t="shared" ref="D40:Y40" si="66">SUM(D38:D39)</f>
        <v>#REF!</v>
      </c>
      <c r="E40" s="1279" t="e">
        <f t="shared" si="66"/>
        <v>#REF!</v>
      </c>
      <c r="F40" s="1279" t="e">
        <f t="shared" si="66"/>
        <v>#REF!</v>
      </c>
      <c r="G40" s="1279" t="e">
        <f t="shared" si="66"/>
        <v>#REF!</v>
      </c>
      <c r="H40" s="1279" t="e">
        <f t="shared" si="66"/>
        <v>#REF!</v>
      </c>
      <c r="I40" s="1279" t="e">
        <f t="shared" si="66"/>
        <v>#REF!</v>
      </c>
      <c r="J40" s="1279" t="e">
        <f t="shared" si="66"/>
        <v>#REF!</v>
      </c>
      <c r="K40" s="1279" t="e">
        <f t="shared" si="66"/>
        <v>#REF!</v>
      </c>
      <c r="L40" s="1279" t="e">
        <f t="shared" si="66"/>
        <v>#REF!</v>
      </c>
      <c r="M40" s="1279" t="e">
        <f t="shared" si="66"/>
        <v>#REF!</v>
      </c>
      <c r="N40" s="1279" t="e">
        <f t="shared" si="66"/>
        <v>#REF!</v>
      </c>
      <c r="O40" s="1279" t="e">
        <f t="shared" si="66"/>
        <v>#REF!</v>
      </c>
      <c r="P40" s="1279" t="e">
        <f t="shared" si="66"/>
        <v>#REF!</v>
      </c>
      <c r="Q40" s="1279" t="e">
        <f t="shared" si="66"/>
        <v>#REF!</v>
      </c>
      <c r="R40" s="1279" t="e">
        <f t="shared" si="66"/>
        <v>#REF!</v>
      </c>
      <c r="S40" s="1279" t="e">
        <f t="shared" si="66"/>
        <v>#REF!</v>
      </c>
      <c r="T40" s="1279" t="e">
        <f t="shared" si="66"/>
        <v>#REF!</v>
      </c>
      <c r="U40" s="1279" t="e">
        <f t="shared" si="66"/>
        <v>#REF!</v>
      </c>
      <c r="V40" s="1279" t="e">
        <f t="shared" si="66"/>
        <v>#REF!</v>
      </c>
      <c r="W40" s="1279" t="e">
        <f t="shared" si="66"/>
        <v>#REF!</v>
      </c>
      <c r="X40" s="1279" t="e">
        <f t="shared" si="66"/>
        <v>#REF!</v>
      </c>
      <c r="Y40" s="1392" t="e">
        <f t="shared" si="66"/>
        <v>#REF!</v>
      </c>
      <c r="AS40" s="941"/>
    </row>
    <row r="41" spans="2:45" x14ac:dyDescent="0.2">
      <c r="B41" s="937"/>
      <c r="D41" s="935"/>
      <c r="E41" s="935"/>
      <c r="F41" s="935"/>
      <c r="AS41" s="941"/>
    </row>
    <row r="42" spans="2:45" x14ac:dyDescent="0.2">
      <c r="B42" s="612" t="s">
        <v>1276</v>
      </c>
      <c r="D42" s="935"/>
      <c r="E42" s="935"/>
      <c r="F42" s="935"/>
      <c r="AS42" s="941"/>
    </row>
    <row r="43" spans="2:45" x14ac:dyDescent="0.2">
      <c r="B43" s="598" t="s">
        <v>1052</v>
      </c>
      <c r="C43" s="1412">
        <f>C35</f>
        <v>2029</v>
      </c>
      <c r="D43" s="1413">
        <f t="shared" ref="D43:F43" si="67">D35</f>
        <v>2030</v>
      </c>
      <c r="E43" s="1413">
        <f t="shared" si="67"/>
        <v>2031</v>
      </c>
      <c r="F43" s="1413">
        <f t="shared" si="67"/>
        <v>2032</v>
      </c>
      <c r="G43" s="1413">
        <f t="shared" ref="G43:R43" si="68">G35</f>
        <v>2033</v>
      </c>
      <c r="H43" s="1413">
        <f t="shared" si="68"/>
        <v>2034</v>
      </c>
      <c r="I43" s="1413">
        <f t="shared" si="68"/>
        <v>2035</v>
      </c>
      <c r="J43" s="1413">
        <f t="shared" si="68"/>
        <v>2036</v>
      </c>
      <c r="K43" s="1413">
        <f t="shared" si="68"/>
        <v>2037</v>
      </c>
      <c r="L43" s="1413">
        <f t="shared" si="68"/>
        <v>2038</v>
      </c>
      <c r="M43" s="1413">
        <f t="shared" si="68"/>
        <v>2039</v>
      </c>
      <c r="N43" s="1413">
        <f t="shared" si="68"/>
        <v>2040</v>
      </c>
      <c r="O43" s="1413">
        <f t="shared" si="68"/>
        <v>2041</v>
      </c>
      <c r="P43" s="1413">
        <f t="shared" si="68"/>
        <v>2042</v>
      </c>
      <c r="Q43" s="1413">
        <f t="shared" si="68"/>
        <v>2043</v>
      </c>
      <c r="R43" s="1413">
        <f t="shared" si="68"/>
        <v>2044</v>
      </c>
      <c r="S43" s="1413">
        <f t="shared" ref="S43" si="69">S35</f>
        <v>2045</v>
      </c>
      <c r="T43" s="1110" t="s">
        <v>1042</v>
      </c>
      <c r="AS43" s="941"/>
    </row>
    <row r="44" spans="2:45" x14ac:dyDescent="0.2">
      <c r="B44" s="1220" t="s">
        <v>1182</v>
      </c>
      <c r="C44" s="942">
        <v>1</v>
      </c>
      <c r="D44" s="942">
        <v>1</v>
      </c>
      <c r="E44" s="934">
        <v>1</v>
      </c>
      <c r="F44" s="934">
        <f>E44+1</f>
        <v>2</v>
      </c>
      <c r="G44" s="934">
        <f t="shared" ref="G44:S44" si="70">F44+1</f>
        <v>3</v>
      </c>
      <c r="H44" s="934">
        <f t="shared" si="70"/>
        <v>4</v>
      </c>
      <c r="I44" s="934">
        <f t="shared" si="70"/>
        <v>5</v>
      </c>
      <c r="J44" s="934">
        <f t="shared" si="70"/>
        <v>6</v>
      </c>
      <c r="K44" s="934">
        <f t="shared" si="70"/>
        <v>7</v>
      </c>
      <c r="L44" s="934">
        <f t="shared" si="70"/>
        <v>8</v>
      </c>
      <c r="M44" s="934">
        <f t="shared" si="70"/>
        <v>9</v>
      </c>
      <c r="N44" s="934">
        <f t="shared" si="70"/>
        <v>10</v>
      </c>
      <c r="O44" s="934">
        <f t="shared" si="70"/>
        <v>11</v>
      </c>
      <c r="P44" s="934">
        <f t="shared" si="70"/>
        <v>12</v>
      </c>
      <c r="Q44" s="934">
        <f t="shared" si="70"/>
        <v>13</v>
      </c>
      <c r="R44" s="934">
        <f t="shared" si="70"/>
        <v>14</v>
      </c>
      <c r="S44" s="934">
        <f t="shared" si="70"/>
        <v>15</v>
      </c>
      <c r="T44" s="941"/>
      <c r="AS44" s="941"/>
    </row>
    <row r="45" spans="2:45" x14ac:dyDescent="0.2">
      <c r="B45" s="1220" t="s">
        <v>1183</v>
      </c>
      <c r="C45" s="1264">
        <v>0</v>
      </c>
      <c r="D45" s="1264">
        <v>0</v>
      </c>
      <c r="E45" s="942">
        <v>1</v>
      </c>
      <c r="F45" s="934">
        <f>E45+1</f>
        <v>2</v>
      </c>
      <c r="G45" s="934">
        <f t="shared" ref="G45:R45" si="71">F45+1</f>
        <v>3</v>
      </c>
      <c r="H45" s="934">
        <f t="shared" si="71"/>
        <v>4</v>
      </c>
      <c r="I45" s="934">
        <f t="shared" si="71"/>
        <v>5</v>
      </c>
      <c r="J45" s="934">
        <f t="shared" si="71"/>
        <v>6</v>
      </c>
      <c r="K45" s="934">
        <f t="shared" si="71"/>
        <v>7</v>
      </c>
      <c r="L45" s="934">
        <f t="shared" si="71"/>
        <v>8</v>
      </c>
      <c r="M45" s="934">
        <f t="shared" si="71"/>
        <v>9</v>
      </c>
      <c r="N45" s="934">
        <f t="shared" si="71"/>
        <v>10</v>
      </c>
      <c r="O45" s="934">
        <f t="shared" si="71"/>
        <v>11</v>
      </c>
      <c r="P45" s="934">
        <f t="shared" si="71"/>
        <v>12</v>
      </c>
      <c r="Q45" s="934">
        <f t="shared" si="71"/>
        <v>13</v>
      </c>
      <c r="R45" s="934">
        <f t="shared" si="71"/>
        <v>14</v>
      </c>
      <c r="S45" s="934">
        <f t="shared" ref="S45" si="72">R45+1</f>
        <v>15</v>
      </c>
      <c r="T45" s="941"/>
      <c r="AS45" s="941"/>
    </row>
    <row r="46" spans="2:45" x14ac:dyDescent="0.2">
      <c r="B46" s="892" t="s">
        <v>1043</v>
      </c>
      <c r="C46" s="1264">
        <f>IFERROR(-PPMT($J$11,C$45,$J$15,$J$13),)</f>
        <v>0</v>
      </c>
      <c r="D46" s="935">
        <f t="shared" ref="D46:S46" si="73">IFERROR(-PPMT($J$11,D$45,$J$15,$J$13),)</f>
        <v>0</v>
      </c>
      <c r="E46" s="935">
        <f t="shared" si="73"/>
        <v>0</v>
      </c>
      <c r="F46" s="935">
        <f t="shared" si="73"/>
        <v>0</v>
      </c>
      <c r="G46" s="935">
        <f t="shared" si="73"/>
        <v>0</v>
      </c>
      <c r="H46" s="935">
        <f t="shared" si="73"/>
        <v>0</v>
      </c>
      <c r="I46" s="935">
        <f t="shared" si="73"/>
        <v>0</v>
      </c>
      <c r="J46" s="935">
        <f t="shared" si="73"/>
        <v>0</v>
      </c>
      <c r="K46" s="935">
        <f t="shared" si="73"/>
        <v>0</v>
      </c>
      <c r="L46" s="935">
        <f t="shared" si="73"/>
        <v>0</v>
      </c>
      <c r="M46" s="935">
        <f t="shared" si="73"/>
        <v>0</v>
      </c>
      <c r="N46" s="935">
        <f t="shared" si="73"/>
        <v>0</v>
      </c>
      <c r="O46" s="935">
        <f t="shared" si="73"/>
        <v>0</v>
      </c>
      <c r="P46" s="935">
        <f t="shared" si="73"/>
        <v>0</v>
      </c>
      <c r="Q46" s="935">
        <f t="shared" si="73"/>
        <v>0</v>
      </c>
      <c r="R46" s="935">
        <f t="shared" si="73"/>
        <v>0</v>
      </c>
      <c r="S46" s="935">
        <f t="shared" si="73"/>
        <v>0</v>
      </c>
      <c r="T46" s="987">
        <f>SUM(C46:S46)</f>
        <v>0</v>
      </c>
      <c r="AS46" s="941"/>
    </row>
    <row r="47" spans="2:45" x14ac:dyDescent="0.2">
      <c r="B47" s="892" t="s">
        <v>1041</v>
      </c>
      <c r="C47" s="936">
        <f>IFERROR(-IPMT($J$11,C$44,$J$15,$J$13),0)</f>
        <v>0</v>
      </c>
      <c r="D47" s="936">
        <f t="shared" ref="D47:S47" si="74">IFERROR(-IPMT($J$11,D$44,$J$15,$J$13),0)</f>
        <v>0</v>
      </c>
      <c r="E47" s="936">
        <f t="shared" si="74"/>
        <v>0</v>
      </c>
      <c r="F47" s="936">
        <f t="shared" si="74"/>
        <v>0</v>
      </c>
      <c r="G47" s="936">
        <f t="shared" si="74"/>
        <v>0</v>
      </c>
      <c r="H47" s="936">
        <f t="shared" si="74"/>
        <v>0</v>
      </c>
      <c r="I47" s="936">
        <f t="shared" si="74"/>
        <v>0</v>
      </c>
      <c r="J47" s="936">
        <f t="shared" si="74"/>
        <v>0</v>
      </c>
      <c r="K47" s="936">
        <f t="shared" si="74"/>
        <v>0</v>
      </c>
      <c r="L47" s="936">
        <f t="shared" si="74"/>
        <v>0</v>
      </c>
      <c r="M47" s="936">
        <f t="shared" si="74"/>
        <v>0</v>
      </c>
      <c r="N47" s="936">
        <f t="shared" si="74"/>
        <v>0</v>
      </c>
      <c r="O47" s="936">
        <f t="shared" si="74"/>
        <v>0</v>
      </c>
      <c r="P47" s="936">
        <f t="shared" si="74"/>
        <v>0</v>
      </c>
      <c r="Q47" s="936">
        <f t="shared" si="74"/>
        <v>0</v>
      </c>
      <c r="R47" s="936">
        <f t="shared" si="74"/>
        <v>0</v>
      </c>
      <c r="S47" s="936">
        <f t="shared" si="74"/>
        <v>0</v>
      </c>
      <c r="T47" s="1040">
        <f>SUM(C47:S47)</f>
        <v>0</v>
      </c>
      <c r="AS47" s="941"/>
    </row>
    <row r="48" spans="2:45" x14ac:dyDescent="0.2">
      <c r="B48" s="944" t="s">
        <v>1044</v>
      </c>
      <c r="C48" s="1279">
        <f>SUM(C46:C47)</f>
        <v>0</v>
      </c>
      <c r="D48" s="1279">
        <f t="shared" ref="D48:F48" si="75">SUM(D46:D47)</f>
        <v>0</v>
      </c>
      <c r="E48" s="1279">
        <f t="shared" si="75"/>
        <v>0</v>
      </c>
      <c r="F48" s="1279">
        <f t="shared" si="75"/>
        <v>0</v>
      </c>
      <c r="G48" s="1279">
        <f t="shared" ref="G48" si="76">SUM(G46:G47)</f>
        <v>0</v>
      </c>
      <c r="H48" s="1279">
        <f t="shared" ref="H48" si="77">SUM(H46:H47)</f>
        <v>0</v>
      </c>
      <c r="I48" s="1279">
        <f t="shared" ref="I48" si="78">SUM(I46:I47)</f>
        <v>0</v>
      </c>
      <c r="J48" s="1279">
        <f t="shared" ref="J48" si="79">SUM(J46:J47)</f>
        <v>0</v>
      </c>
      <c r="K48" s="1279">
        <f t="shared" ref="K48" si="80">SUM(K46:K47)</f>
        <v>0</v>
      </c>
      <c r="L48" s="1279">
        <f t="shared" ref="L48" si="81">SUM(L46:L47)</f>
        <v>0</v>
      </c>
      <c r="M48" s="1279">
        <f t="shared" ref="M48" si="82">SUM(M46:M47)</f>
        <v>0</v>
      </c>
      <c r="N48" s="1279">
        <f t="shared" ref="N48" si="83">SUM(N46:N47)</f>
        <v>0</v>
      </c>
      <c r="O48" s="1279">
        <f t="shared" ref="O48" si="84">SUM(O46:O47)</f>
        <v>0</v>
      </c>
      <c r="P48" s="1279">
        <f t="shared" ref="P48" si="85">SUM(P46:P47)</f>
        <v>0</v>
      </c>
      <c r="Q48" s="1279">
        <f t="shared" ref="Q48" si="86">SUM(Q46:Q47)</f>
        <v>0</v>
      </c>
      <c r="R48" s="1279">
        <f t="shared" ref="R48:T48" si="87">SUM(R46:R47)</f>
        <v>0</v>
      </c>
      <c r="S48" s="1279">
        <f t="shared" si="87"/>
        <v>0</v>
      </c>
      <c r="T48" s="1392">
        <f t="shared" si="87"/>
        <v>0</v>
      </c>
      <c r="AS48" s="941"/>
    </row>
    <row r="49" spans="2:45" x14ac:dyDescent="0.2">
      <c r="B49" s="937"/>
      <c r="D49" s="935"/>
      <c r="E49" s="935"/>
      <c r="F49" s="935"/>
      <c r="AS49" s="941"/>
    </row>
    <row r="50" spans="2:45" x14ac:dyDescent="0.2">
      <c r="B50" s="612" t="s">
        <v>1276</v>
      </c>
      <c r="D50" s="935"/>
      <c r="E50" s="935"/>
      <c r="F50" s="935"/>
      <c r="AS50" s="941"/>
    </row>
    <row r="51" spans="2:45" x14ac:dyDescent="0.2">
      <c r="B51" s="598" t="s">
        <v>1052</v>
      </c>
      <c r="C51" s="1412">
        <f>C43</f>
        <v>2029</v>
      </c>
      <c r="D51" s="1413">
        <f t="shared" ref="D51:F51" si="88">D43</f>
        <v>2030</v>
      </c>
      <c r="E51" s="1413">
        <f t="shared" si="88"/>
        <v>2031</v>
      </c>
      <c r="F51" s="1413">
        <f t="shared" si="88"/>
        <v>2032</v>
      </c>
      <c r="G51" s="1413">
        <f t="shared" ref="G51:L51" si="89">G43</f>
        <v>2033</v>
      </c>
      <c r="H51" s="1413">
        <f t="shared" si="89"/>
        <v>2034</v>
      </c>
      <c r="I51" s="1413">
        <f t="shared" si="89"/>
        <v>2035</v>
      </c>
      <c r="J51" s="1413">
        <f t="shared" si="89"/>
        <v>2036</v>
      </c>
      <c r="K51" s="1413">
        <f t="shared" si="89"/>
        <v>2037</v>
      </c>
      <c r="L51" s="1413">
        <f t="shared" si="89"/>
        <v>2038</v>
      </c>
      <c r="M51" s="1414" t="s">
        <v>1042</v>
      </c>
      <c r="AS51" s="941"/>
    </row>
    <row r="52" spans="2:45" x14ac:dyDescent="0.2">
      <c r="B52" s="1220" t="s">
        <v>1182</v>
      </c>
      <c r="C52" s="942">
        <v>1</v>
      </c>
      <c r="D52" s="942">
        <v>1</v>
      </c>
      <c r="E52" s="934">
        <v>1</v>
      </c>
      <c r="F52" s="934">
        <f>E52+1</f>
        <v>2</v>
      </c>
      <c r="G52" s="934">
        <f t="shared" ref="G52:L52" si="90">F52+1</f>
        <v>3</v>
      </c>
      <c r="H52" s="934">
        <f t="shared" si="90"/>
        <v>4</v>
      </c>
      <c r="I52" s="934">
        <f t="shared" si="90"/>
        <v>5</v>
      </c>
      <c r="J52" s="934">
        <f t="shared" si="90"/>
        <v>6</v>
      </c>
      <c r="K52" s="934">
        <f t="shared" si="90"/>
        <v>7</v>
      </c>
      <c r="L52" s="934">
        <f t="shared" si="90"/>
        <v>8</v>
      </c>
      <c r="M52" s="941"/>
      <c r="AS52" s="941"/>
    </row>
    <row r="53" spans="2:45" x14ac:dyDescent="0.2">
      <c r="B53" s="1220" t="s">
        <v>1183</v>
      </c>
      <c r="C53" s="1264">
        <v>0</v>
      </c>
      <c r="D53" s="1264">
        <v>0</v>
      </c>
      <c r="E53" s="942">
        <v>1</v>
      </c>
      <c r="F53" s="934">
        <f>E53+1</f>
        <v>2</v>
      </c>
      <c r="G53" s="934">
        <f t="shared" ref="G53:L53" si="91">F53+1</f>
        <v>3</v>
      </c>
      <c r="H53" s="934">
        <f t="shared" si="91"/>
        <v>4</v>
      </c>
      <c r="I53" s="934">
        <f t="shared" si="91"/>
        <v>5</v>
      </c>
      <c r="J53" s="934">
        <f t="shared" si="91"/>
        <v>6</v>
      </c>
      <c r="K53" s="934">
        <f t="shared" si="91"/>
        <v>7</v>
      </c>
      <c r="L53" s="934">
        <f t="shared" si="91"/>
        <v>8</v>
      </c>
      <c r="M53" s="941"/>
      <c r="AS53" s="941"/>
    </row>
    <row r="54" spans="2:45" x14ac:dyDescent="0.2">
      <c r="B54" s="892" t="s">
        <v>1043</v>
      </c>
      <c r="C54" s="1264">
        <f>IFERROR(-PPMT($M$11,C$53,$M$15,$M$13),0)</f>
        <v>0</v>
      </c>
      <c r="D54" s="1264">
        <f t="shared" ref="D54:L54" si="92">IFERROR(-PPMT($M$11,D$53,$M$15,$M$13),0)</f>
        <v>0</v>
      </c>
      <c r="E54" s="1264">
        <f>IFERROR(-PPMT($M$11,E$53,$M$15,$M$13),0)</f>
        <v>0</v>
      </c>
      <c r="F54" s="1264">
        <f t="shared" si="92"/>
        <v>0</v>
      </c>
      <c r="G54" s="1264">
        <f t="shared" si="92"/>
        <v>0</v>
      </c>
      <c r="H54" s="1264">
        <f t="shared" si="92"/>
        <v>0</v>
      </c>
      <c r="I54" s="1264">
        <f t="shared" si="92"/>
        <v>0</v>
      </c>
      <c r="J54" s="1264">
        <f t="shared" si="92"/>
        <v>0</v>
      </c>
      <c r="K54" s="1264">
        <f t="shared" si="92"/>
        <v>0</v>
      </c>
      <c r="L54" s="1264">
        <f t="shared" si="92"/>
        <v>0</v>
      </c>
      <c r="M54" s="1391">
        <f>SUM(C54:L54)</f>
        <v>0</v>
      </c>
      <c r="AS54" s="941"/>
    </row>
    <row r="55" spans="2:45" x14ac:dyDescent="0.2">
      <c r="B55" s="892" t="s">
        <v>1041</v>
      </c>
      <c r="C55" s="1388">
        <f>IFERROR(-IPMT($M$11,C$52,$M$15,$M$13),0)</f>
        <v>0</v>
      </c>
      <c r="D55" s="1388">
        <f t="shared" ref="D55:L55" si="93">IFERROR(-IPMT($M$11,D$52,$M$15,$M$13),0)</f>
        <v>0</v>
      </c>
      <c r="E55" s="1388">
        <f>IFERROR(-IPMT($M$11,E$52,$M$15,$M$13),0)</f>
        <v>0</v>
      </c>
      <c r="F55" s="1388">
        <f t="shared" si="93"/>
        <v>0</v>
      </c>
      <c r="G55" s="1388">
        <f t="shared" si="93"/>
        <v>0</v>
      </c>
      <c r="H55" s="1388">
        <f t="shared" si="93"/>
        <v>0</v>
      </c>
      <c r="I55" s="1388">
        <f t="shared" si="93"/>
        <v>0</v>
      </c>
      <c r="J55" s="1388">
        <f t="shared" si="93"/>
        <v>0</v>
      </c>
      <c r="K55" s="1388">
        <f t="shared" si="93"/>
        <v>0</v>
      </c>
      <c r="L55" s="1388">
        <f t="shared" si="93"/>
        <v>0</v>
      </c>
      <c r="M55" s="1458">
        <f>SUM(C55:L55)</f>
        <v>0</v>
      </c>
      <c r="AS55" s="941"/>
    </row>
    <row r="56" spans="2:45" x14ac:dyDescent="0.2">
      <c r="B56" s="944" t="s">
        <v>1044</v>
      </c>
      <c r="C56" s="1279">
        <f>SUM(C54:C55)</f>
        <v>0</v>
      </c>
      <c r="D56" s="1279">
        <f t="shared" ref="D56:F56" si="94">SUM(D54:D55)</f>
        <v>0</v>
      </c>
      <c r="E56" s="1279">
        <f t="shared" si="94"/>
        <v>0</v>
      </c>
      <c r="F56" s="1279">
        <f t="shared" si="94"/>
        <v>0</v>
      </c>
      <c r="G56" s="1279">
        <f t="shared" ref="G56" si="95">SUM(G54:G55)</f>
        <v>0</v>
      </c>
      <c r="H56" s="1279">
        <f t="shared" ref="H56" si="96">SUM(H54:H55)</f>
        <v>0</v>
      </c>
      <c r="I56" s="1279">
        <f t="shared" ref="I56" si="97">SUM(I54:I55)</f>
        <v>0</v>
      </c>
      <c r="J56" s="1279">
        <f t="shared" ref="J56" si="98">SUM(J54:J55)</f>
        <v>0</v>
      </c>
      <c r="K56" s="1279">
        <f t="shared" ref="K56" si="99">SUM(K54:K55)</f>
        <v>0</v>
      </c>
      <c r="L56" s="1279">
        <f t="shared" ref="L56" si="100">SUM(L54:L55)</f>
        <v>0</v>
      </c>
      <c r="M56" s="1392">
        <f t="shared" ref="M56" si="101">SUM(M54:M55)</f>
        <v>0</v>
      </c>
      <c r="AS56" s="941"/>
    </row>
    <row r="57" spans="2:45" x14ac:dyDescent="0.2">
      <c r="B57" s="937"/>
      <c r="D57" s="935"/>
      <c r="E57" s="935"/>
      <c r="F57" s="935"/>
      <c r="AS57" s="941"/>
    </row>
    <row r="58" spans="2:45" x14ac:dyDescent="0.2">
      <c r="B58" s="944" t="s">
        <v>1279</v>
      </c>
      <c r="C58" s="1039">
        <f>C51</f>
        <v>2029</v>
      </c>
      <c r="D58" s="1039">
        <f t="shared" ref="D58:E58" si="102">D51</f>
        <v>2030</v>
      </c>
      <c r="E58" s="1039">
        <f t="shared" si="102"/>
        <v>2031</v>
      </c>
      <c r="F58" s="1039">
        <f t="shared" ref="F58:I58" si="103">F51</f>
        <v>2032</v>
      </c>
      <c r="G58" s="1039">
        <f t="shared" si="103"/>
        <v>2033</v>
      </c>
      <c r="H58" s="1039">
        <f t="shared" si="103"/>
        <v>2034</v>
      </c>
      <c r="I58" s="1039">
        <f t="shared" si="103"/>
        <v>2035</v>
      </c>
      <c r="J58" s="1039">
        <f t="shared" ref="J58:L58" si="104">J51</f>
        <v>2036</v>
      </c>
      <c r="K58" s="1039">
        <f t="shared" si="104"/>
        <v>2037</v>
      </c>
      <c r="L58" s="1039">
        <f t="shared" si="104"/>
        <v>2038</v>
      </c>
      <c r="AS58" s="941"/>
    </row>
    <row r="59" spans="2:45" x14ac:dyDescent="0.2">
      <c r="B59" s="937" t="s">
        <v>1280</v>
      </c>
      <c r="C59" s="1121" t="e">
        <f>$C$21</f>
        <v>#REF!</v>
      </c>
      <c r="D59" s="1121" t="e">
        <f t="shared" ref="D59:L59" si="105">$C$21</f>
        <v>#REF!</v>
      </c>
      <c r="E59" s="1121" t="e">
        <f t="shared" si="105"/>
        <v>#REF!</v>
      </c>
      <c r="F59" s="1121" t="e">
        <f t="shared" si="105"/>
        <v>#REF!</v>
      </c>
      <c r="G59" s="1121" t="e">
        <f t="shared" si="105"/>
        <v>#REF!</v>
      </c>
      <c r="H59" s="1121" t="e">
        <f t="shared" si="105"/>
        <v>#REF!</v>
      </c>
      <c r="I59" s="1121" t="e">
        <f t="shared" si="105"/>
        <v>#REF!</v>
      </c>
      <c r="J59" s="1121" t="e">
        <f t="shared" si="105"/>
        <v>#REF!</v>
      </c>
      <c r="K59" s="1121" t="e">
        <f t="shared" si="105"/>
        <v>#REF!</v>
      </c>
      <c r="L59" s="1121" t="e">
        <f t="shared" si="105"/>
        <v>#REF!</v>
      </c>
      <c r="AS59" s="941"/>
    </row>
    <row r="60" spans="2:45" x14ac:dyDescent="0.2">
      <c r="B60" s="937" t="s">
        <v>1281</v>
      </c>
      <c r="C60" s="1121" t="e">
        <f>$F$21</f>
        <v>#REF!</v>
      </c>
      <c r="D60" s="1121" t="e">
        <f t="shared" ref="D60:L60" si="106">$F$21</f>
        <v>#REF!</v>
      </c>
      <c r="E60" s="1121" t="e">
        <f t="shared" si="106"/>
        <v>#REF!</v>
      </c>
      <c r="F60" s="1121" t="e">
        <f t="shared" si="106"/>
        <v>#REF!</v>
      </c>
      <c r="G60" s="1121" t="e">
        <f t="shared" si="106"/>
        <v>#REF!</v>
      </c>
      <c r="H60" s="1121" t="e">
        <f t="shared" si="106"/>
        <v>#REF!</v>
      </c>
      <c r="I60" s="1121" t="e">
        <f t="shared" si="106"/>
        <v>#REF!</v>
      </c>
      <c r="J60" s="1121" t="e">
        <f t="shared" si="106"/>
        <v>#REF!</v>
      </c>
      <c r="K60" s="1121" t="e">
        <f t="shared" si="106"/>
        <v>#REF!</v>
      </c>
      <c r="L60" s="1121" t="e">
        <f t="shared" si="106"/>
        <v>#REF!</v>
      </c>
      <c r="AS60" s="941"/>
    </row>
    <row r="61" spans="2:45" x14ac:dyDescent="0.2">
      <c r="B61" s="937" t="s">
        <v>1282</v>
      </c>
      <c r="C61" s="1121">
        <f>$I$21</f>
        <v>0</v>
      </c>
      <c r="D61" s="1121">
        <f t="shared" ref="D61:L61" si="107">$I$21</f>
        <v>0</v>
      </c>
      <c r="E61" s="1121">
        <f t="shared" si="107"/>
        <v>0</v>
      </c>
      <c r="F61" s="1121">
        <f t="shared" si="107"/>
        <v>0</v>
      </c>
      <c r="G61" s="1121">
        <f t="shared" si="107"/>
        <v>0</v>
      </c>
      <c r="H61" s="1121">
        <f t="shared" si="107"/>
        <v>0</v>
      </c>
      <c r="I61" s="1121">
        <f t="shared" si="107"/>
        <v>0</v>
      </c>
      <c r="J61" s="1121">
        <f t="shared" si="107"/>
        <v>0</v>
      </c>
      <c r="K61" s="1121">
        <f t="shared" si="107"/>
        <v>0</v>
      </c>
      <c r="L61" s="1121">
        <f t="shared" si="107"/>
        <v>0</v>
      </c>
      <c r="AS61" s="941"/>
    </row>
    <row r="62" spans="2:45" x14ac:dyDescent="0.2">
      <c r="B62" s="937" t="s">
        <v>1283</v>
      </c>
      <c r="C62" s="1121">
        <f>$L$21</f>
        <v>0</v>
      </c>
      <c r="D62" s="1121">
        <f t="shared" ref="D62:L62" si="108">$L$21</f>
        <v>0</v>
      </c>
      <c r="E62" s="1121">
        <f t="shared" si="108"/>
        <v>0</v>
      </c>
      <c r="F62" s="1121">
        <f t="shared" si="108"/>
        <v>0</v>
      </c>
      <c r="G62" s="1121">
        <f t="shared" si="108"/>
        <v>0</v>
      </c>
      <c r="H62" s="1121">
        <f t="shared" si="108"/>
        <v>0</v>
      </c>
      <c r="I62" s="1121">
        <f t="shared" si="108"/>
        <v>0</v>
      </c>
      <c r="J62" s="1121">
        <f t="shared" si="108"/>
        <v>0</v>
      </c>
      <c r="K62" s="1121">
        <f t="shared" si="108"/>
        <v>0</v>
      </c>
      <c r="L62" s="1121">
        <f t="shared" si="108"/>
        <v>0</v>
      </c>
      <c r="AS62" s="941"/>
    </row>
    <row r="63" spans="2:45" x14ac:dyDescent="0.2">
      <c r="B63" s="944" t="s">
        <v>1284</v>
      </c>
      <c r="C63" s="1116" t="e">
        <f>SUM(C59:C62)</f>
        <v>#REF!</v>
      </c>
      <c r="D63" s="1116" t="e">
        <f t="shared" ref="D63:E63" si="109">SUM(D59:D62)</f>
        <v>#REF!</v>
      </c>
      <c r="E63" s="1116" t="e">
        <f t="shared" si="109"/>
        <v>#REF!</v>
      </c>
      <c r="F63" s="1116" t="e">
        <f t="shared" ref="F63" si="110">SUM(F59:F62)</f>
        <v>#REF!</v>
      </c>
      <c r="G63" s="1116" t="e">
        <f t="shared" ref="G63" si="111">SUM(G59:G62)</f>
        <v>#REF!</v>
      </c>
      <c r="H63" s="1116" t="e">
        <f t="shared" ref="H63" si="112">SUM(H59:H62)</f>
        <v>#REF!</v>
      </c>
      <c r="I63" s="1116" t="e">
        <f t="shared" ref="I63" si="113">SUM(I59:I62)</f>
        <v>#REF!</v>
      </c>
      <c r="J63" s="1116" t="e">
        <f t="shared" ref="J63" si="114">SUM(J59:J62)</f>
        <v>#REF!</v>
      </c>
      <c r="K63" s="1116" t="e">
        <f t="shared" ref="K63" si="115">SUM(K59:K62)</f>
        <v>#REF!</v>
      </c>
      <c r="L63" s="1116" t="e">
        <f t="shared" ref="L63" si="116">SUM(L59:L62)</f>
        <v>#REF!</v>
      </c>
      <c r="AS63" s="941"/>
    </row>
    <row r="64" spans="2:45" x14ac:dyDescent="0.2">
      <c r="B64" s="937" t="s">
        <v>1285</v>
      </c>
      <c r="C64" s="1264">
        <f>C30</f>
        <v>0</v>
      </c>
      <c r="D64" s="1264">
        <f t="shared" ref="D64:E64" si="117">D30</f>
        <v>0</v>
      </c>
      <c r="E64" s="1264" t="e">
        <f t="shared" si="117"/>
        <v>#REF!</v>
      </c>
      <c r="F64" s="1264" t="e">
        <f t="shared" ref="F64:I64" si="118">F30</f>
        <v>#REF!</v>
      </c>
      <c r="G64" s="1264" t="e">
        <f t="shared" si="118"/>
        <v>#REF!</v>
      </c>
      <c r="H64" s="1264" t="e">
        <f t="shared" si="118"/>
        <v>#REF!</v>
      </c>
      <c r="I64" s="1264" t="e">
        <f t="shared" si="118"/>
        <v>#REF!</v>
      </c>
      <c r="J64" s="1264" t="e">
        <f t="shared" ref="J64:L64" si="119">J30</f>
        <v>#REF!</v>
      </c>
      <c r="K64" s="1264" t="e">
        <f t="shared" si="119"/>
        <v>#REF!</v>
      </c>
      <c r="L64" s="1264" t="e">
        <f t="shared" si="119"/>
        <v>#REF!</v>
      </c>
      <c r="AS64" s="941"/>
    </row>
    <row r="65" spans="2:45" x14ac:dyDescent="0.2">
      <c r="B65" s="937" t="s">
        <v>1286</v>
      </c>
      <c r="C65" s="1264">
        <f>C38</f>
        <v>0</v>
      </c>
      <c r="D65" s="1264">
        <f t="shared" ref="D65:E65" si="120">D38</f>
        <v>0</v>
      </c>
      <c r="E65" s="1264" t="e">
        <f t="shared" si="120"/>
        <v>#REF!</v>
      </c>
      <c r="F65" s="1264" t="e">
        <f t="shared" ref="F65:I65" si="121">F38</f>
        <v>#REF!</v>
      </c>
      <c r="G65" s="1264" t="e">
        <f t="shared" si="121"/>
        <v>#REF!</v>
      </c>
      <c r="H65" s="1264" t="e">
        <f t="shared" si="121"/>
        <v>#REF!</v>
      </c>
      <c r="I65" s="1264" t="e">
        <f t="shared" si="121"/>
        <v>#REF!</v>
      </c>
      <c r="J65" s="1264" t="e">
        <f t="shared" ref="J65:L65" si="122">J38</f>
        <v>#REF!</v>
      </c>
      <c r="K65" s="1264" t="e">
        <f t="shared" si="122"/>
        <v>#REF!</v>
      </c>
      <c r="L65" s="1264" t="e">
        <f t="shared" si="122"/>
        <v>#REF!</v>
      </c>
      <c r="AS65" s="941"/>
    </row>
    <row r="66" spans="2:45" x14ac:dyDescent="0.2">
      <c r="B66" s="937" t="s">
        <v>1287</v>
      </c>
      <c r="C66" s="1264">
        <f>C46</f>
        <v>0</v>
      </c>
      <c r="D66" s="1264">
        <f t="shared" ref="D66:E66" si="123">D46</f>
        <v>0</v>
      </c>
      <c r="E66" s="1264">
        <f t="shared" si="123"/>
        <v>0</v>
      </c>
      <c r="F66" s="1264">
        <f t="shared" ref="F66:I66" si="124">F46</f>
        <v>0</v>
      </c>
      <c r="G66" s="1264">
        <f t="shared" si="124"/>
        <v>0</v>
      </c>
      <c r="H66" s="1264">
        <f t="shared" si="124"/>
        <v>0</v>
      </c>
      <c r="I66" s="1264">
        <f t="shared" si="124"/>
        <v>0</v>
      </c>
      <c r="J66" s="1264">
        <f t="shared" ref="J66:L66" si="125">J46</f>
        <v>0</v>
      </c>
      <c r="K66" s="1264">
        <f t="shared" si="125"/>
        <v>0</v>
      </c>
      <c r="L66" s="1264">
        <f t="shared" si="125"/>
        <v>0</v>
      </c>
      <c r="AS66" s="941"/>
    </row>
    <row r="67" spans="2:45" x14ac:dyDescent="0.2">
      <c r="B67" s="937" t="s">
        <v>1288</v>
      </c>
      <c r="C67" s="1388">
        <f>C46</f>
        <v>0</v>
      </c>
      <c r="D67" s="1388">
        <f t="shared" ref="D67:E67" si="126">D46</f>
        <v>0</v>
      </c>
      <c r="E67" s="1388">
        <f t="shared" si="126"/>
        <v>0</v>
      </c>
      <c r="F67" s="1388">
        <f t="shared" ref="F67:I67" si="127">F46</f>
        <v>0</v>
      </c>
      <c r="G67" s="1388">
        <f t="shared" si="127"/>
        <v>0</v>
      </c>
      <c r="H67" s="1388">
        <f t="shared" si="127"/>
        <v>0</v>
      </c>
      <c r="I67" s="1388">
        <f t="shared" si="127"/>
        <v>0</v>
      </c>
      <c r="J67" s="1388">
        <f t="shared" ref="J67:L67" si="128">J46</f>
        <v>0</v>
      </c>
      <c r="K67" s="1388">
        <f t="shared" si="128"/>
        <v>0</v>
      </c>
      <c r="L67" s="1388">
        <f t="shared" si="128"/>
        <v>0</v>
      </c>
      <c r="AS67" s="941"/>
    </row>
    <row r="68" spans="2:45" x14ac:dyDescent="0.2">
      <c r="B68" s="944" t="s">
        <v>1289</v>
      </c>
      <c r="C68" s="1279">
        <f>SUM(C64:C67)</f>
        <v>0</v>
      </c>
      <c r="D68" s="1279">
        <f t="shared" ref="D68" si="129">SUM(D64:D67)</f>
        <v>0</v>
      </c>
      <c r="E68" s="1279" t="e">
        <f>SUM(E64:E67)</f>
        <v>#REF!</v>
      </c>
      <c r="F68" s="1279" t="e">
        <f t="shared" ref="F68" si="130">SUM(F64:F67)</f>
        <v>#REF!</v>
      </c>
      <c r="G68" s="1279" t="e">
        <f t="shared" ref="G68" si="131">SUM(G64:G67)</f>
        <v>#REF!</v>
      </c>
      <c r="H68" s="1279" t="e">
        <f t="shared" ref="H68" si="132">SUM(H64:H67)</f>
        <v>#REF!</v>
      </c>
      <c r="I68" s="1279" t="e">
        <f t="shared" ref="I68" si="133">SUM(I64:I67)</f>
        <v>#REF!</v>
      </c>
      <c r="J68" s="1279" t="e">
        <f t="shared" ref="J68" si="134">SUM(J64:J67)</f>
        <v>#REF!</v>
      </c>
      <c r="K68" s="1279" t="e">
        <f t="shared" ref="K68" si="135">SUM(K64:K67)</f>
        <v>#REF!</v>
      </c>
      <c r="L68" s="1279" t="e">
        <f t="shared" ref="L68" si="136">SUM(L64:L67)</f>
        <v>#REF!</v>
      </c>
      <c r="AS68" s="941"/>
    </row>
    <row r="69" spans="2:45" x14ac:dyDescent="0.2">
      <c r="B69" s="937"/>
      <c r="D69" s="935"/>
      <c r="E69" s="935"/>
      <c r="F69" s="935"/>
      <c r="AS69" s="941"/>
    </row>
    <row r="70" spans="2:45" x14ac:dyDescent="0.2">
      <c r="B70" s="944" t="s">
        <v>744</v>
      </c>
      <c r="C70" s="487">
        <f>C58</f>
        <v>2029</v>
      </c>
      <c r="D70" s="487">
        <f t="shared" ref="D70:I70" si="137">D58</f>
        <v>2030</v>
      </c>
      <c r="E70" s="487">
        <f t="shared" si="137"/>
        <v>2031</v>
      </c>
      <c r="F70" s="487">
        <f t="shared" si="137"/>
        <v>2032</v>
      </c>
      <c r="G70" s="487">
        <f t="shared" si="137"/>
        <v>2033</v>
      </c>
      <c r="H70" s="487">
        <f t="shared" si="137"/>
        <v>2034</v>
      </c>
      <c r="I70" s="487">
        <f t="shared" si="137"/>
        <v>2035</v>
      </c>
      <c r="J70" s="487">
        <f t="shared" ref="J70:L70" si="138">J58</f>
        <v>2036</v>
      </c>
      <c r="K70" s="487">
        <f t="shared" si="138"/>
        <v>2037</v>
      </c>
      <c r="L70" s="487">
        <f t="shared" si="138"/>
        <v>2038</v>
      </c>
      <c r="AS70" s="941"/>
    </row>
    <row r="71" spans="2:45" x14ac:dyDescent="0.2">
      <c r="B71" s="937" t="s">
        <v>1290</v>
      </c>
      <c r="C71" s="1121" t="e">
        <f>C63</f>
        <v>#REF!</v>
      </c>
      <c r="D71" s="1121" t="e">
        <f>C73</f>
        <v>#REF!</v>
      </c>
      <c r="E71" s="1121" t="e">
        <f t="shared" ref="E71:F71" si="139">D73</f>
        <v>#REF!</v>
      </c>
      <c r="F71" s="1121" t="e">
        <f t="shared" si="139"/>
        <v>#REF!</v>
      </c>
      <c r="G71" s="1121" t="e">
        <f t="shared" ref="G71:I71" si="140">F73</f>
        <v>#REF!</v>
      </c>
      <c r="H71" s="1121" t="e">
        <f t="shared" si="140"/>
        <v>#REF!</v>
      </c>
      <c r="I71" s="1121" t="e">
        <f t="shared" si="140"/>
        <v>#REF!</v>
      </c>
      <c r="J71" s="1121" t="e">
        <f t="shared" ref="J71:L71" si="141">I73</f>
        <v>#REF!</v>
      </c>
      <c r="K71" s="1121" t="e">
        <f t="shared" si="141"/>
        <v>#REF!</v>
      </c>
      <c r="L71" s="1121" t="e">
        <f t="shared" si="141"/>
        <v>#REF!</v>
      </c>
      <c r="AS71" s="941"/>
    </row>
    <row r="72" spans="2:45" x14ac:dyDescent="0.2">
      <c r="B72" s="937" t="s">
        <v>1040</v>
      </c>
      <c r="C72" s="1388">
        <f>-C68</f>
        <v>0</v>
      </c>
      <c r="D72" s="1388">
        <f t="shared" ref="D72" si="142">-D68</f>
        <v>0</v>
      </c>
      <c r="E72" s="1388" t="e">
        <f t="shared" ref="E72:F72" si="143">-E68</f>
        <v>#REF!</v>
      </c>
      <c r="F72" s="1388" t="e">
        <f t="shared" si="143"/>
        <v>#REF!</v>
      </c>
      <c r="G72" s="1388" t="e">
        <f t="shared" ref="G72:I72" si="144">-G68</f>
        <v>#REF!</v>
      </c>
      <c r="H72" s="1388" t="e">
        <f t="shared" si="144"/>
        <v>#REF!</v>
      </c>
      <c r="I72" s="1388" t="e">
        <f t="shared" si="144"/>
        <v>#REF!</v>
      </c>
      <c r="J72" s="1388" t="e">
        <f t="shared" ref="J72:L72" si="145">-J68</f>
        <v>#REF!</v>
      </c>
      <c r="K72" s="1388" t="e">
        <f t="shared" si="145"/>
        <v>#REF!</v>
      </c>
      <c r="L72" s="1388" t="e">
        <f t="shared" si="145"/>
        <v>#REF!</v>
      </c>
      <c r="AS72" s="941"/>
    </row>
    <row r="73" spans="2:45" x14ac:dyDescent="0.2">
      <c r="B73" s="944" t="s">
        <v>1291</v>
      </c>
      <c r="C73" s="1116" t="e">
        <f>SUM(C71:C72)</f>
        <v>#REF!</v>
      </c>
      <c r="D73" s="1116" t="e">
        <f t="shared" ref="D73" si="146">SUM(D71:D72)</f>
        <v>#REF!</v>
      </c>
      <c r="E73" s="1116" t="e">
        <f t="shared" ref="E73" si="147">SUM(E71:E72)</f>
        <v>#REF!</v>
      </c>
      <c r="F73" s="1116" t="e">
        <f t="shared" ref="F73" si="148">SUM(F71:F72)</f>
        <v>#REF!</v>
      </c>
      <c r="G73" s="1116" t="e">
        <f t="shared" ref="G73" si="149">SUM(G71:G72)</f>
        <v>#REF!</v>
      </c>
      <c r="H73" s="1116" t="e">
        <f t="shared" ref="H73" si="150">SUM(H71:H72)</f>
        <v>#REF!</v>
      </c>
      <c r="I73" s="1116" t="e">
        <f t="shared" ref="I73" si="151">SUM(I71:I72)</f>
        <v>#REF!</v>
      </c>
      <c r="J73" s="1116" t="e">
        <f t="shared" ref="J73" si="152">SUM(J71:J72)</f>
        <v>#REF!</v>
      </c>
      <c r="K73" s="1116" t="e">
        <f t="shared" ref="K73" si="153">SUM(K71:K72)</f>
        <v>#REF!</v>
      </c>
      <c r="L73" s="1116" t="e">
        <f t="shared" ref="L73" si="154">SUM(L71:L72)</f>
        <v>#REF!</v>
      </c>
      <c r="AS73" s="941"/>
    </row>
    <row r="74" spans="2:45" x14ac:dyDescent="0.2">
      <c r="B74" s="937"/>
      <c r="AS74" s="941"/>
    </row>
    <row r="75" spans="2:45" ht="12" thickBot="1" x14ac:dyDescent="0.25">
      <c r="B75" s="1222"/>
      <c r="C75" s="1223"/>
      <c r="D75" s="1223"/>
      <c r="E75" s="1223"/>
      <c r="F75" s="1223"/>
      <c r="G75" s="1223"/>
      <c r="H75" s="1223"/>
      <c r="I75" s="1223"/>
      <c r="J75" s="1223"/>
      <c r="K75" s="1223"/>
      <c r="L75" s="1223"/>
      <c r="M75" s="1223"/>
      <c r="N75" s="1223"/>
      <c r="O75" s="1223"/>
      <c r="P75" s="1223"/>
      <c r="Q75" s="1223"/>
      <c r="R75" s="1223"/>
      <c r="S75" s="1223"/>
      <c r="T75" s="1223"/>
      <c r="U75" s="1223"/>
      <c r="V75" s="1223"/>
      <c r="W75" s="1223"/>
      <c r="X75" s="1223"/>
      <c r="Y75" s="1223"/>
      <c r="Z75" s="1223"/>
      <c r="AA75" s="1223"/>
      <c r="AB75" s="1223"/>
      <c r="AC75" s="1223"/>
      <c r="AD75" s="1223"/>
      <c r="AE75" s="1223"/>
      <c r="AF75" s="1223"/>
      <c r="AG75" s="1223"/>
      <c r="AH75" s="1223"/>
      <c r="AI75" s="1223"/>
      <c r="AJ75" s="1223"/>
      <c r="AK75" s="1223"/>
      <c r="AL75" s="1223"/>
      <c r="AM75" s="1223"/>
      <c r="AN75" s="1223"/>
      <c r="AO75" s="1223"/>
      <c r="AP75" s="1223"/>
      <c r="AQ75" s="1223"/>
      <c r="AR75" s="1223"/>
      <c r="AS75" s="1224"/>
    </row>
    <row r="76" spans="2:45" x14ac:dyDescent="0.2"/>
    <row r="77" spans="2:45" x14ac:dyDescent="0.2"/>
    <row r="78" spans="2:45" x14ac:dyDescent="0.2"/>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255A2D-6314-48E3-BF14-0C306153C550}">
  <sheetPr>
    <tabColor rgb="FF00587A"/>
  </sheetPr>
  <dimension ref="A1:AM56"/>
  <sheetViews>
    <sheetView showGridLines="0" zoomScaleNormal="100" workbookViewId="0">
      <pane ySplit="2" topLeftCell="A3" activePane="bottomLeft" state="frozen"/>
      <selection activeCell="E5" sqref="E5"/>
      <selection pane="bottomLeft" activeCell="L41" sqref="L41"/>
    </sheetView>
  </sheetViews>
  <sheetFormatPr defaultColWidth="0" defaultRowHeight="0" customHeight="1" zeroHeight="1" outlineLevelRow="1" x14ac:dyDescent="0.2"/>
  <cols>
    <col min="1" max="1" width="2.85546875" style="544" customWidth="1"/>
    <col min="2" max="2" width="18.85546875" style="569" customWidth="1"/>
    <col min="3" max="4" width="1.85546875" style="544" customWidth="1"/>
    <col min="5" max="5" width="9.140625" style="544" customWidth="1"/>
    <col min="6" max="6" width="12.42578125" style="570" customWidth="1"/>
    <col min="7" max="13" width="10" style="544" customWidth="1"/>
    <col min="14" max="14" width="4.7109375" style="544" customWidth="1"/>
    <col min="15" max="15" width="4.7109375" style="569" customWidth="1"/>
    <col min="16" max="16" width="9.140625" style="544" hidden="1" customWidth="1"/>
    <col min="17" max="29" width="0" style="544" hidden="1" customWidth="1"/>
    <col min="30" max="30" width="9.140625" style="544" hidden="1" customWidth="1"/>
    <col min="31" max="39" width="0" style="544" hidden="1" customWidth="1"/>
    <col min="40" max="16384" width="9.140625" style="544" hidden="1"/>
  </cols>
  <sheetData>
    <row r="1" spans="1:25" ht="11.25" hidden="1" x14ac:dyDescent="0.2">
      <c r="A1" s="539"/>
      <c r="B1" s="652"/>
      <c r="C1" s="539"/>
      <c r="D1" s="539"/>
      <c r="E1" s="539"/>
      <c r="F1" s="541"/>
      <c r="G1" s="542"/>
      <c r="H1" s="542"/>
      <c r="I1" s="542"/>
      <c r="J1" s="542"/>
      <c r="K1" s="542"/>
      <c r="L1" s="542"/>
      <c r="M1" s="542"/>
      <c r="N1" s="542"/>
      <c r="O1" s="543"/>
      <c r="P1" s="542"/>
      <c r="Q1" s="542"/>
      <c r="R1" s="542"/>
      <c r="S1" s="542"/>
      <c r="T1" s="542"/>
      <c r="U1" s="542"/>
      <c r="V1" s="542"/>
      <c r="W1" s="542"/>
      <c r="X1" s="542"/>
      <c r="Y1" s="542"/>
    </row>
    <row r="2" spans="1:25" ht="21" customHeight="1" x14ac:dyDescent="0.2">
      <c r="A2" s="539"/>
      <c r="B2" s="545" t="s">
        <v>911</v>
      </c>
      <c r="C2" s="546"/>
      <c r="D2" s="546"/>
      <c r="E2" s="546"/>
      <c r="F2" s="547"/>
      <c r="G2" s="548">
        <f>'Predpoklady_SFR DSS'!H2-1</f>
        <v>2029</v>
      </c>
      <c r="H2" s="548">
        <f>G2+1</f>
        <v>2030</v>
      </c>
      <c r="I2" s="548">
        <f>+H2+1</f>
        <v>2031</v>
      </c>
      <c r="J2" s="548">
        <f t="shared" ref="J2:K2" si="0">+I2+1</f>
        <v>2032</v>
      </c>
      <c r="K2" s="548">
        <f t="shared" si="0"/>
        <v>2033</v>
      </c>
      <c r="L2" s="548">
        <f t="shared" ref="L2" si="1">+K2+1</f>
        <v>2034</v>
      </c>
      <c r="M2" s="548"/>
      <c r="N2" s="548"/>
      <c r="O2" s="548"/>
      <c r="P2" s="542"/>
      <c r="Q2" s="542"/>
      <c r="R2" s="542"/>
      <c r="S2" s="542"/>
      <c r="T2" s="542"/>
      <c r="U2" s="542"/>
      <c r="V2" s="542"/>
      <c r="W2" s="542"/>
      <c r="X2" s="542"/>
      <c r="Y2" s="542"/>
    </row>
    <row r="3" spans="1:25" ht="11.25" x14ac:dyDescent="0.2">
      <c r="G3" s="653"/>
      <c r="H3" s="653"/>
      <c r="I3" s="653"/>
      <c r="J3" s="653"/>
      <c r="K3" s="653"/>
    </row>
    <row r="4" spans="1:25" ht="11.25" x14ac:dyDescent="0.2"/>
    <row r="5" spans="1:25" ht="11.25" x14ac:dyDescent="0.2"/>
    <row r="6" spans="1:25" ht="19.5" customHeight="1" x14ac:dyDescent="0.2">
      <c r="B6" s="575" t="s">
        <v>912</v>
      </c>
      <c r="C6" s="654"/>
      <c r="D6" s="654"/>
      <c r="E6" s="654"/>
      <c r="F6" s="654"/>
      <c r="G6" s="655"/>
      <c r="H6" s="655"/>
      <c r="I6" s="655"/>
      <c r="J6" s="655"/>
      <c r="K6" s="656"/>
      <c r="L6" s="656"/>
      <c r="O6" s="544"/>
    </row>
    <row r="7" spans="1:25" ht="12" customHeight="1" x14ac:dyDescent="0.2">
      <c r="B7" s="583" t="s">
        <v>41</v>
      </c>
      <c r="C7" s="585"/>
      <c r="D7" s="585"/>
      <c r="E7" s="585"/>
      <c r="F7" s="585"/>
      <c r="G7" s="586" t="str">
        <f>"FY"&amp;RIGHT(G$2,2)</f>
        <v>FY29</v>
      </c>
      <c r="H7" s="586" t="str">
        <f>"FY"&amp;RIGHT(H$2,2)</f>
        <v>FY30</v>
      </c>
      <c r="I7" s="586" t="str">
        <f t="shared" ref="I7:L7" si="2">"FY"&amp;RIGHT(I$2,2)</f>
        <v>FY31</v>
      </c>
      <c r="J7" s="586" t="str">
        <f t="shared" si="2"/>
        <v>FY32</v>
      </c>
      <c r="K7" s="586" t="str">
        <f>"FY"&amp;RIGHT(K$2,2)</f>
        <v>FY33</v>
      </c>
      <c r="L7" s="587" t="str">
        <f t="shared" si="2"/>
        <v>FY34</v>
      </c>
      <c r="O7" s="544"/>
    </row>
    <row r="8" spans="1:25" ht="11.25" x14ac:dyDescent="0.2">
      <c r="B8" s="1033" t="s">
        <v>913</v>
      </c>
      <c r="C8" s="1034"/>
      <c r="D8" s="1034"/>
      <c r="E8" s="1034"/>
      <c r="F8" s="1035"/>
      <c r="G8" s="1035">
        <v>47299</v>
      </c>
      <c r="H8" s="1035">
        <v>47848</v>
      </c>
      <c r="I8" s="1035">
        <f t="shared" ref="I8:L8" si="3">EDATE(H8,12)</f>
        <v>48213</v>
      </c>
      <c r="J8" s="1035">
        <f t="shared" si="3"/>
        <v>48579</v>
      </c>
      <c r="K8" s="1035">
        <f t="shared" si="3"/>
        <v>48944</v>
      </c>
      <c r="L8" s="1415">
        <f t="shared" si="3"/>
        <v>49309</v>
      </c>
      <c r="O8" s="544"/>
    </row>
    <row r="9" spans="1:25" ht="11.25" x14ac:dyDescent="0.2">
      <c r="B9" s="588" t="s">
        <v>887</v>
      </c>
      <c r="C9" s="627"/>
      <c r="D9" s="627"/>
      <c r="E9" s="627"/>
      <c r="F9" s="851"/>
      <c r="G9" s="851"/>
      <c r="H9" s="851"/>
      <c r="I9" s="851"/>
      <c r="J9" s="851"/>
      <c r="K9" s="851"/>
      <c r="L9" s="1416"/>
      <c r="O9" s="544"/>
    </row>
    <row r="10" spans="1:25" s="657" customFormat="1" ht="12" customHeight="1" x14ac:dyDescent="0.2">
      <c r="B10" s="658" t="s">
        <v>1</v>
      </c>
      <c r="C10" s="659"/>
      <c r="D10" s="659"/>
      <c r="E10" s="659"/>
      <c r="F10" s="659"/>
      <c r="G10" s="657">
        <v>0</v>
      </c>
      <c r="H10" s="660">
        <f>Projections!J34</f>
        <v>269887.29500000004</v>
      </c>
      <c r="I10" s="660">
        <f>Projections!K34</f>
        <v>561735.35045749997</v>
      </c>
      <c r="J10" s="660">
        <f>Projections!L34</f>
        <v>776290.87027337658</v>
      </c>
      <c r="K10" s="660">
        <f>Projections!M34</f>
        <v>1023027.7947888777</v>
      </c>
      <c r="L10" s="1417">
        <f>Projections!N34</f>
        <v>1332310.9325895864</v>
      </c>
      <c r="M10" s="544"/>
      <c r="N10" s="544"/>
      <c r="O10" s="544"/>
    </row>
    <row r="11" spans="1:25" s="657" customFormat="1" ht="12" customHeight="1" x14ac:dyDescent="0.2">
      <c r="B11" s="661" t="s">
        <v>914</v>
      </c>
      <c r="C11" s="659"/>
      <c r="D11" s="659"/>
      <c r="E11" s="659"/>
      <c r="F11" s="659"/>
      <c r="G11" s="660">
        <v>0</v>
      </c>
      <c r="H11" s="660">
        <f>Projections!J43</f>
        <v>-92127.219916666669</v>
      </c>
      <c r="I11" s="660">
        <f>-'P&amp;L_Short'!J41</f>
        <v>-198215.65313929171</v>
      </c>
      <c r="J11" s="660">
        <f>-'P&amp;L_Short'!K41</f>
        <v>-281770.48528448789</v>
      </c>
      <c r="K11" s="660">
        <f>-'P&amp;L_Short'!L41</f>
        <v>-376264.99809128471</v>
      </c>
      <c r="L11" s="1417">
        <f>-'P&amp;L_Short'!M41</f>
        <v>-494706.49565987586</v>
      </c>
      <c r="M11" s="544"/>
      <c r="N11" s="544"/>
      <c r="O11" s="544"/>
    </row>
    <row r="12" spans="1:25" ht="12" customHeight="1" x14ac:dyDescent="0.2">
      <c r="B12" s="661" t="s">
        <v>915</v>
      </c>
      <c r="C12" s="659"/>
      <c r="D12" s="659"/>
      <c r="E12" s="659"/>
      <c r="F12" s="659"/>
      <c r="G12" s="660">
        <v>0</v>
      </c>
      <c r="H12" s="660">
        <f>NWC!K29</f>
        <v>-42678.565000000002</v>
      </c>
      <c r="I12" s="660">
        <f>NWC!L29</f>
        <v>-25952.533938801324</v>
      </c>
      <c r="J12" s="660">
        <f>NWC!M29</f>
        <v>-22331.60557164927</v>
      </c>
      <c r="K12" s="660">
        <f>NWC!N29</f>
        <v>-18466.574576155981</v>
      </c>
      <c r="L12" s="1417">
        <f>NWC!O29</f>
        <v>-22703.327698230685</v>
      </c>
      <c r="O12" s="544"/>
    </row>
    <row r="13" spans="1:25" ht="12" customHeight="1" x14ac:dyDescent="0.2">
      <c r="B13" s="1036" t="s">
        <v>997</v>
      </c>
      <c r="C13" s="1037"/>
      <c r="D13" s="1037"/>
      <c r="E13" s="1037"/>
      <c r="F13" s="1037"/>
      <c r="G13" s="1038">
        <f>-Assumptions!G148</f>
        <v>-30000</v>
      </c>
      <c r="H13" s="1038">
        <f>-Assumptions!H148</f>
        <v>-5000</v>
      </c>
      <c r="I13" s="1038">
        <f>-Assumptions!I148</f>
        <v>-15000</v>
      </c>
      <c r="J13" s="1038">
        <f>-Assumptions!J148</f>
        <v>0</v>
      </c>
      <c r="K13" s="1038">
        <f>-Assumptions!K148</f>
        <v>-10000</v>
      </c>
      <c r="L13" s="1478">
        <f>-Assumptions!L148</f>
        <v>0</v>
      </c>
      <c r="O13" s="544"/>
    </row>
    <row r="14" spans="1:25" s="657" customFormat="1" ht="12" customHeight="1" x14ac:dyDescent="0.2">
      <c r="B14" s="662" t="s">
        <v>916</v>
      </c>
      <c r="C14" s="663"/>
      <c r="D14" s="663"/>
      <c r="E14" s="663"/>
      <c r="F14" s="663"/>
      <c r="G14" s="664">
        <f>SUM(G10:G13)</f>
        <v>-30000</v>
      </c>
      <c r="H14" s="664">
        <f t="shared" ref="H14:K14" si="4">SUM(H10:H13)</f>
        <v>130081.51008333336</v>
      </c>
      <c r="I14" s="664">
        <f t="shared" si="4"/>
        <v>322567.16337940696</v>
      </c>
      <c r="J14" s="664">
        <f t="shared" si="4"/>
        <v>472188.77941723942</v>
      </c>
      <c r="K14" s="664">
        <f t="shared" si="4"/>
        <v>618296.22212143708</v>
      </c>
      <c r="L14" s="1418">
        <f>SUM(L10:L13)</f>
        <v>814901.1092314797</v>
      </c>
      <c r="M14" s="544"/>
      <c r="N14" s="544"/>
      <c r="O14" s="544"/>
    </row>
    <row r="15" spans="1:25" s="657" customFormat="1" ht="12" customHeight="1" x14ac:dyDescent="0.2">
      <c r="B15" s="852" t="s">
        <v>917</v>
      </c>
      <c r="C15" s="853"/>
      <c r="D15" s="853"/>
      <c r="E15" s="853"/>
      <c r="F15" s="853"/>
      <c r="G15" s="854">
        <f>SUM(G14,F15)</f>
        <v>-30000</v>
      </c>
      <c r="H15" s="854">
        <f t="shared" ref="H15:I15" si="5">SUM(H14,G15)</f>
        <v>100081.51008333336</v>
      </c>
      <c r="I15" s="854">
        <f t="shared" si="5"/>
        <v>422648.67346274032</v>
      </c>
      <c r="J15" s="854">
        <f>SUM(J14,I15)</f>
        <v>894837.45287997974</v>
      </c>
      <c r="K15" s="854">
        <f>SUM(K14,J15)</f>
        <v>1513133.6750014168</v>
      </c>
      <c r="L15" s="1419">
        <f>SUM(L14,K15)</f>
        <v>2328034.7842328968</v>
      </c>
      <c r="M15" s="544"/>
      <c r="N15" s="544"/>
      <c r="O15" s="544"/>
    </row>
    <row r="16" spans="1:25" ht="12" thickBot="1" x14ac:dyDescent="0.25">
      <c r="B16" s="631" t="s">
        <v>918</v>
      </c>
      <c r="C16" s="985"/>
      <c r="D16" s="985"/>
      <c r="E16" s="985"/>
      <c r="F16" s="990"/>
      <c r="G16" s="991"/>
      <c r="H16" s="984">
        <f>IF(H15&lt;0,"-",ABS(G15/H14))</f>
        <v>0.23062462897902458</v>
      </c>
      <c r="I16" s="984">
        <f t="shared" ref="I16" si="6">IF(I15&lt;0,"-",ABS(H15/I14))</f>
        <v>0.31026564835310411</v>
      </c>
      <c r="J16" s="984">
        <f>IF(J15&lt;0,"-",ABS(I15/J14))</f>
        <v>0.89508411018228784</v>
      </c>
      <c r="K16" s="984">
        <f>IF(K15&lt;0,"-",ABS(J15/K14))</f>
        <v>1.4472633357029121</v>
      </c>
      <c r="L16" s="1479">
        <f t="shared" ref="L16" si="7">IF(L15&lt;0,"-",ABS(K15/L14))</f>
        <v>1.8568310410430404</v>
      </c>
      <c r="O16" s="544"/>
    </row>
    <row r="17" spans="2:15" ht="13.15" customHeight="1" x14ac:dyDescent="0.2">
      <c r="B17" s="600"/>
      <c r="C17" s="627"/>
      <c r="D17" s="627"/>
      <c r="E17" s="627"/>
      <c r="F17" s="628"/>
      <c r="G17" s="627"/>
      <c r="H17" s="627"/>
      <c r="I17" s="627"/>
      <c r="J17" s="627"/>
      <c r="K17" s="627"/>
      <c r="O17" s="544"/>
    </row>
    <row r="18" spans="2:15" ht="11.25" x14ac:dyDescent="0.2">
      <c r="B18" s="600"/>
      <c r="C18" s="627"/>
      <c r="D18" s="627"/>
      <c r="E18" s="627"/>
      <c r="F18" s="628"/>
      <c r="G18" s="627"/>
      <c r="H18" s="1371"/>
      <c r="I18" s="627"/>
      <c r="J18" s="627"/>
      <c r="K18" s="627"/>
      <c r="O18" s="544"/>
    </row>
    <row r="19" spans="2:15" ht="19.5" customHeight="1" x14ac:dyDescent="0.2">
      <c r="B19" s="575" t="s">
        <v>919</v>
      </c>
      <c r="C19" s="654"/>
      <c r="D19" s="654"/>
      <c r="E19" s="654"/>
      <c r="F19" s="656"/>
      <c r="H19" s="1369"/>
      <c r="O19" s="544"/>
    </row>
    <row r="20" spans="2:15" ht="10.15" customHeight="1" x14ac:dyDescent="0.2">
      <c r="B20" s="583"/>
      <c r="C20" s="585"/>
      <c r="D20" s="585"/>
      <c r="E20" s="585"/>
      <c r="F20" s="665"/>
      <c r="H20" s="1368"/>
      <c r="I20" s="1372"/>
      <c r="O20" s="1369"/>
    </row>
    <row r="21" spans="2:15" ht="11.25" x14ac:dyDescent="0.2">
      <c r="B21" s="598" t="s">
        <v>920</v>
      </c>
      <c r="C21" s="666"/>
      <c r="D21" s="666"/>
      <c r="E21" s="666"/>
      <c r="F21" s="1044">
        <f>XIRR(G14:O14,G8:O8)</f>
        <v>3.0854182958602911</v>
      </c>
      <c r="G21" s="1408" t="s">
        <v>1294</v>
      </c>
      <c r="H21" s="1368"/>
      <c r="O21" s="1369"/>
    </row>
    <row r="22" spans="2:15" ht="11.25" x14ac:dyDescent="0.2">
      <c r="B22" s="598" t="s">
        <v>1057</v>
      </c>
      <c r="C22" s="666"/>
      <c r="D22" s="666"/>
      <c r="E22" s="666"/>
      <c r="F22" s="667">
        <f>SUM(H14:O14)/-G14</f>
        <v>78.601159474429892</v>
      </c>
      <c r="G22" s="1408" t="s">
        <v>1294</v>
      </c>
      <c r="H22" s="1368"/>
      <c r="O22" s="1369"/>
    </row>
    <row r="23" spans="2:15" ht="11.25" hidden="1" x14ac:dyDescent="0.2">
      <c r="B23" s="1042" t="s">
        <v>1056</v>
      </c>
      <c r="C23" s="666"/>
      <c r="D23" s="666"/>
      <c r="E23" s="666"/>
      <c r="F23" s="1045">
        <f>NPV(6%,G14:O14)</f>
        <v>1768821.5761694284</v>
      </c>
      <c r="G23" s="573"/>
      <c r="H23" s="573"/>
      <c r="O23" s="544"/>
    </row>
    <row r="24" spans="2:15" ht="12" thickBot="1" x14ac:dyDescent="0.25">
      <c r="B24" s="631" t="s">
        <v>921</v>
      </c>
      <c r="C24" s="668"/>
      <c r="D24" s="668"/>
      <c r="E24" s="668"/>
      <c r="F24" s="669" cm="1">
        <f t="array" ref="F24">COUNTIF(H15:O15,"&lt;"&amp;0)+INDEX(H16:O16,,COUNTIF(H15:O15,"&lt;"&amp;0)+1)-YEARFRAC(H8,I8)+1</f>
        <v>0.23062462897902458</v>
      </c>
      <c r="G24" s="573"/>
      <c r="H24" s="573"/>
      <c r="K24" s="1372"/>
      <c r="O24" s="544"/>
    </row>
    <row r="25" spans="2:15" ht="11.25" x14ac:dyDescent="0.2">
      <c r="B25" s="600"/>
      <c r="C25" s="627"/>
      <c r="D25" s="627"/>
      <c r="E25" s="627"/>
      <c r="F25" s="628"/>
      <c r="G25" s="627"/>
      <c r="H25" s="627"/>
      <c r="I25" s="627"/>
      <c r="J25" s="627"/>
      <c r="K25" s="627"/>
      <c r="O25" s="1370"/>
    </row>
    <row r="26" spans="2:15" ht="11.25" x14ac:dyDescent="0.2">
      <c r="B26" s="600"/>
      <c r="C26" s="627"/>
      <c r="D26" s="627"/>
      <c r="E26" s="627"/>
      <c r="F26" s="986"/>
      <c r="G26" s="627"/>
      <c r="H26" s="627"/>
      <c r="I26" s="627"/>
      <c r="J26" s="627"/>
      <c r="K26" s="627"/>
    </row>
    <row r="27" spans="2:15" ht="19.5" customHeight="1" x14ac:dyDescent="0.2">
      <c r="B27" s="575" t="s">
        <v>1260</v>
      </c>
      <c r="C27" s="654"/>
      <c r="D27" s="654"/>
      <c r="E27" s="654"/>
      <c r="F27" s="654"/>
      <c r="G27" s="655"/>
      <c r="H27" s="655"/>
      <c r="I27" s="655"/>
      <c r="J27" s="655"/>
      <c r="K27" s="656"/>
      <c r="L27" s="656"/>
      <c r="O27" s="544"/>
    </row>
    <row r="28" spans="2:15" ht="11.25" outlineLevel="1" x14ac:dyDescent="0.2">
      <c r="B28" s="583" t="s">
        <v>41</v>
      </c>
      <c r="C28" s="585"/>
      <c r="D28" s="585"/>
      <c r="E28" s="585"/>
      <c r="F28" s="585"/>
      <c r="G28" s="586" t="str">
        <f>"FY"&amp;RIGHT(G$2,2)</f>
        <v>FY29</v>
      </c>
      <c r="H28" s="586" t="str">
        <f>"FY"&amp;RIGHT(H$2,2)</f>
        <v>FY30</v>
      </c>
      <c r="I28" s="586" t="str">
        <f t="shared" ref="I28:L28" si="8">"FY"&amp;RIGHT(I$2,2)</f>
        <v>FY31</v>
      </c>
      <c r="J28" s="586" t="str">
        <f t="shared" si="8"/>
        <v>FY32</v>
      </c>
      <c r="K28" s="586" t="str">
        <f>"FY"&amp;RIGHT(K$2,2)</f>
        <v>FY33</v>
      </c>
      <c r="L28" s="587" t="str">
        <f t="shared" si="8"/>
        <v>FY34</v>
      </c>
      <c r="O28" s="544"/>
    </row>
    <row r="29" spans="2:15" ht="11.25" customHeight="1" outlineLevel="1" x14ac:dyDescent="0.2">
      <c r="B29" s="1033" t="s">
        <v>913</v>
      </c>
      <c r="C29" s="1034"/>
      <c r="D29" s="1034"/>
      <c r="E29" s="1034"/>
      <c r="F29" s="1035"/>
      <c r="G29" s="1035">
        <f>G8</f>
        <v>47299</v>
      </c>
      <c r="H29" s="1035">
        <f>H8</f>
        <v>47848</v>
      </c>
      <c r="I29" s="1035">
        <f t="shared" ref="I29:L29" si="9">EDATE(H29,12)</f>
        <v>48213</v>
      </c>
      <c r="J29" s="1035">
        <f t="shared" si="9"/>
        <v>48579</v>
      </c>
      <c r="K29" s="1035">
        <f t="shared" si="9"/>
        <v>48944</v>
      </c>
      <c r="L29" s="1415">
        <f t="shared" si="9"/>
        <v>49309</v>
      </c>
      <c r="O29" s="544"/>
    </row>
    <row r="30" spans="2:15" ht="11.25" customHeight="1" outlineLevel="1" x14ac:dyDescent="0.2">
      <c r="B30" s="588" t="s">
        <v>887</v>
      </c>
      <c r="C30" s="627"/>
      <c r="D30" s="627"/>
      <c r="E30" s="627"/>
      <c r="F30" s="851"/>
      <c r="G30" s="851"/>
      <c r="H30" s="851"/>
      <c r="I30" s="851"/>
      <c r="J30" s="851"/>
      <c r="K30" s="851"/>
      <c r="L30" s="1416"/>
      <c r="O30" s="544"/>
    </row>
    <row r="31" spans="2:15" ht="11.25" customHeight="1" outlineLevel="1" x14ac:dyDescent="0.2">
      <c r="B31" s="658" t="s">
        <v>1</v>
      </c>
      <c r="C31" s="659"/>
      <c r="D31" s="659"/>
      <c r="E31" s="659"/>
      <c r="F31" s="659"/>
      <c r="G31" s="660">
        <v>0</v>
      </c>
      <c r="H31" s="660">
        <f>Projections!J34</f>
        <v>269887.29500000004</v>
      </c>
      <c r="I31" s="660">
        <f>Projections!K34</f>
        <v>561735.35045749997</v>
      </c>
      <c r="J31" s="660">
        <f>Projections!L34</f>
        <v>776290.87027337658</v>
      </c>
      <c r="K31" s="660">
        <f>Projections!M34</f>
        <v>1023027.7947888777</v>
      </c>
      <c r="L31" s="1417">
        <f>Projections!N34</f>
        <v>1332310.9325895864</v>
      </c>
      <c r="O31" s="544"/>
    </row>
    <row r="32" spans="2:15" ht="11.25" customHeight="1" outlineLevel="1" x14ac:dyDescent="0.2">
      <c r="B32" s="1041" t="s">
        <v>1051</v>
      </c>
      <c r="C32" s="659"/>
      <c r="D32" s="659"/>
      <c r="E32" s="659"/>
      <c r="F32" s="659"/>
      <c r="G32" s="660" t="e">
        <f>-SUM(Dlhová_služba!C31,Dlhová_služba!C39,Dlhová_služba!C47,Dlhová_služba!C55)</f>
        <v>#REF!</v>
      </c>
      <c r="H32" s="660" t="e">
        <f>-SUM(Dlhová_služba!D31,Dlhová_služba!D39,Dlhová_služba!D47,Dlhová_služba!D55)</f>
        <v>#REF!</v>
      </c>
      <c r="I32" s="660" t="e">
        <f>-SUM(Dlhová_služba!E31,Dlhová_služba!E39,Dlhová_služba!E47,Dlhová_služba!E55)</f>
        <v>#REF!</v>
      </c>
      <c r="J32" s="660" t="e">
        <f>-SUM(Dlhová_služba!F31,Dlhová_služba!F39,Dlhová_služba!F47,Dlhová_služba!F55)</f>
        <v>#REF!</v>
      </c>
      <c r="K32" s="660" t="e">
        <f>-SUM(Dlhová_služba!G31,Dlhová_služba!G39,Dlhová_služba!G47,Dlhová_služba!G55)</f>
        <v>#REF!</v>
      </c>
      <c r="L32" s="1417" t="e">
        <f>-SUM(Dlhová_služba!H31,Dlhová_služba!H39,Dlhová_služba!H47,Dlhová_služba!H55)</f>
        <v>#REF!</v>
      </c>
      <c r="O32" s="544"/>
    </row>
    <row r="33" spans="2:15" ht="11.25" customHeight="1" outlineLevel="1" x14ac:dyDescent="0.2">
      <c r="B33" s="661" t="s">
        <v>914</v>
      </c>
      <c r="C33" s="659"/>
      <c r="D33" s="659"/>
      <c r="E33" s="659"/>
      <c r="F33" s="659"/>
      <c r="G33" s="660">
        <v>0</v>
      </c>
      <c r="H33" s="660">
        <f>Projections!J43</f>
        <v>-92127.219916666669</v>
      </c>
      <c r="I33" s="660">
        <f>Projections!K43</f>
        <v>-193399.03932679165</v>
      </c>
      <c r="J33" s="660">
        <f>Projections!L43</f>
        <v>-268493.47126234847</v>
      </c>
      <c r="K33" s="660">
        <f>Projections!M43</f>
        <v>-353976.39484277385</v>
      </c>
      <c r="L33" s="1417">
        <f>Projections!N43</f>
        <v>-463100.49307302182</v>
      </c>
      <c r="O33" s="544"/>
    </row>
    <row r="34" spans="2:15" ht="11.25" customHeight="1" outlineLevel="1" x14ac:dyDescent="0.2">
      <c r="B34" s="661" t="s">
        <v>915</v>
      </c>
      <c r="C34" s="659"/>
      <c r="D34" s="659"/>
      <c r="E34" s="659"/>
      <c r="F34" s="659"/>
      <c r="G34" s="660">
        <v>0</v>
      </c>
      <c r="H34" s="660">
        <f>NWC!K29</f>
        <v>-42678.565000000002</v>
      </c>
      <c r="I34" s="660">
        <f>NWC!L29</f>
        <v>-25952.533938801324</v>
      </c>
      <c r="J34" s="660">
        <f>NWC!M29</f>
        <v>-22331.60557164927</v>
      </c>
      <c r="K34" s="660">
        <f>NWC!N29</f>
        <v>-18466.574576155981</v>
      </c>
      <c r="L34" s="1417">
        <f>NWC!O29</f>
        <v>-22703.327698230685</v>
      </c>
      <c r="O34" s="544"/>
    </row>
    <row r="35" spans="2:15" ht="11.25" customHeight="1" outlineLevel="1" x14ac:dyDescent="0.2">
      <c r="B35" s="1041" t="s">
        <v>1261</v>
      </c>
      <c r="C35" s="659"/>
      <c r="D35" s="659"/>
      <c r="E35" s="659"/>
      <c r="F35" s="659"/>
      <c r="G35" s="660">
        <f>-SUM(Dlhová_služba!C30,Dlhová_služba!C38,Dlhová_služba!C46,Dlhová_služba!C54)</f>
        <v>0</v>
      </c>
      <c r="H35" s="660">
        <f>-SUM(Dlhová_služba!D30,Dlhová_služba!D38,Dlhová_služba!D46,Dlhová_služba!D54)</f>
        <v>0</v>
      </c>
      <c r="I35" s="660" t="e">
        <f>-SUM(Dlhová_služba!E30,Dlhová_služba!E38,Dlhová_služba!E46,Dlhová_služba!E54)</f>
        <v>#REF!</v>
      </c>
      <c r="J35" s="660" t="e">
        <f>-SUM(Dlhová_služba!F30,Dlhová_služba!F38,Dlhová_služba!F46,Dlhová_služba!F54)</f>
        <v>#REF!</v>
      </c>
      <c r="K35" s="660" t="e">
        <f>-SUM(Dlhová_služba!G30,Dlhová_služba!G38,Dlhová_služba!G46,Dlhová_služba!G54)</f>
        <v>#REF!</v>
      </c>
      <c r="L35" s="1417" t="e">
        <f>-SUM(Dlhová_služba!H30,Dlhová_služba!H38,Dlhová_služba!H46,Dlhová_služba!H54)</f>
        <v>#REF!</v>
      </c>
      <c r="O35" s="544"/>
    </row>
    <row r="36" spans="2:15" ht="11.25" customHeight="1" outlineLevel="1" x14ac:dyDescent="0.2">
      <c r="B36" s="1036" t="s">
        <v>997</v>
      </c>
      <c r="C36" s="1037"/>
      <c r="D36" s="1037"/>
      <c r="E36" s="1037"/>
      <c r="F36" s="1037"/>
      <c r="G36" s="1038">
        <f>G13</f>
        <v>-30000</v>
      </c>
      <c r="H36" s="1038">
        <f t="shared" ref="H36:L36" si="10">H13</f>
        <v>-5000</v>
      </c>
      <c r="I36" s="1038">
        <f t="shared" si="10"/>
        <v>-15000</v>
      </c>
      <c r="J36" s="1038">
        <f t="shared" si="10"/>
        <v>0</v>
      </c>
      <c r="K36" s="1038">
        <f t="shared" si="10"/>
        <v>-10000</v>
      </c>
      <c r="L36" s="1478">
        <f t="shared" si="10"/>
        <v>0</v>
      </c>
      <c r="O36" s="544"/>
    </row>
    <row r="37" spans="2:15" ht="11.25" customHeight="1" outlineLevel="1" x14ac:dyDescent="0.2">
      <c r="B37" s="662" t="s">
        <v>1260</v>
      </c>
      <c r="C37" s="663"/>
      <c r="D37" s="663"/>
      <c r="E37" s="663"/>
      <c r="F37" s="663"/>
      <c r="G37" s="664" t="e">
        <f>SUM(G31:G36)</f>
        <v>#REF!</v>
      </c>
      <c r="H37" s="664" t="e">
        <f>SUM(H31:H36)</f>
        <v>#REF!</v>
      </c>
      <c r="I37" s="664" t="e">
        <f>SUM(I31:I36)</f>
        <v>#REF!</v>
      </c>
      <c r="J37" s="664" t="e">
        <f t="shared" ref="J37:K37" si="11">SUM(J31:J36)</f>
        <v>#REF!</v>
      </c>
      <c r="K37" s="664" t="e">
        <f t="shared" si="11"/>
        <v>#REF!</v>
      </c>
      <c r="L37" s="1418" t="e">
        <f>SUM(L31:L36)</f>
        <v>#REF!</v>
      </c>
      <c r="O37" s="544"/>
    </row>
    <row r="38" spans="2:15" ht="11.25" customHeight="1" outlineLevel="1" x14ac:dyDescent="0.2">
      <c r="B38" s="852" t="s">
        <v>917</v>
      </c>
      <c r="C38" s="853"/>
      <c r="D38" s="853"/>
      <c r="E38" s="853"/>
      <c r="F38" s="853"/>
      <c r="G38" s="854" t="e">
        <f>SUM(G37,F38)</f>
        <v>#REF!</v>
      </c>
      <c r="H38" s="854" t="e">
        <f>SUM(H37,G38)</f>
        <v>#REF!</v>
      </c>
      <c r="I38" s="854" t="e">
        <f t="shared" ref="I38" si="12">SUM(I37,H38)</f>
        <v>#REF!</v>
      </c>
      <c r="J38" s="854" t="e">
        <f>SUM(J37,I38)</f>
        <v>#REF!</v>
      </c>
      <c r="K38" s="854" t="e">
        <f>SUM(K37,J38)</f>
        <v>#REF!</v>
      </c>
      <c r="L38" s="1419" t="e">
        <f>SUM(L37,K38)</f>
        <v>#REF!</v>
      </c>
      <c r="O38" s="544"/>
    </row>
    <row r="39" spans="2:15" ht="11.25" customHeight="1" outlineLevel="1" thickBot="1" x14ac:dyDescent="0.25">
      <c r="B39" s="631" t="s">
        <v>918</v>
      </c>
      <c r="C39" s="985"/>
      <c r="D39" s="985"/>
      <c r="E39" s="985"/>
      <c r="F39" s="990"/>
      <c r="G39" s="991"/>
      <c r="H39" s="984" t="e">
        <f>IF(H38&lt;0,"-",ABS(G38/H37))</f>
        <v>#REF!</v>
      </c>
      <c r="I39" s="984" t="e">
        <f>IF(I38&lt;0,"-",ABS(H38/I37))</f>
        <v>#REF!</v>
      </c>
      <c r="J39" s="984" t="e">
        <f>IF(J38&lt;0,"-",ABS(I38/J37))</f>
        <v>#REF!</v>
      </c>
      <c r="K39" s="984" t="e">
        <f>IF(K38&lt;0,"-",ABS(J38/K37))</f>
        <v>#REF!</v>
      </c>
      <c r="L39" s="1420" t="e">
        <f t="shared" ref="L39" si="13">IF(L38&lt;0,"-",ABS(K38/L37))</f>
        <v>#REF!</v>
      </c>
      <c r="O39" s="544"/>
    </row>
    <row r="40" spans="2:15" ht="11.25" customHeight="1" outlineLevel="1" x14ac:dyDescent="0.2">
      <c r="O40" s="544"/>
    </row>
    <row r="41" spans="2:15" ht="19.5" customHeight="1" outlineLevel="1" x14ac:dyDescent="0.2">
      <c r="B41" s="575" t="s">
        <v>919</v>
      </c>
      <c r="C41" s="654"/>
      <c r="D41" s="654"/>
      <c r="E41" s="654"/>
      <c r="F41" s="656"/>
      <c r="O41" s="544"/>
    </row>
    <row r="42" spans="2:15" ht="11.25" customHeight="1" outlineLevel="1" x14ac:dyDescent="0.2">
      <c r="B42" s="583"/>
      <c r="C42" s="585"/>
      <c r="D42" s="585"/>
      <c r="E42" s="585"/>
      <c r="F42" s="665"/>
    </row>
    <row r="43" spans="2:15" ht="11.25" customHeight="1" outlineLevel="1" x14ac:dyDescent="0.2">
      <c r="B43" s="598" t="s">
        <v>920</v>
      </c>
      <c r="C43" s="666"/>
      <c r="D43" s="666"/>
      <c r="E43" s="666"/>
      <c r="F43" s="1044" t="e">
        <f>XIRR(G37:O37,G29:O29)</f>
        <v>#REF!</v>
      </c>
    </row>
    <row r="44" spans="2:15" ht="11.25" customHeight="1" outlineLevel="1" x14ac:dyDescent="0.2">
      <c r="B44" s="598" t="s">
        <v>1057</v>
      </c>
      <c r="C44" s="666"/>
      <c r="D44" s="666"/>
      <c r="E44" s="666"/>
      <c r="F44" s="667" t="e">
        <f>SUM(H37:O37)/-SUM(G36:O36)</f>
        <v>#REF!</v>
      </c>
    </row>
    <row r="45" spans="2:15" ht="11.25" hidden="1" customHeight="1" outlineLevel="1" x14ac:dyDescent="0.2">
      <c r="B45" s="1042" t="s">
        <v>1056</v>
      </c>
      <c r="C45" s="666"/>
      <c r="D45" s="666"/>
      <c r="E45" s="666"/>
      <c r="F45" s="1045" t="e">
        <f>XNPV(6%,G37:O37,G29:O29)</f>
        <v>#REF!</v>
      </c>
    </row>
    <row r="46" spans="2:15" ht="11.25" customHeight="1" outlineLevel="1" thickBot="1" x14ac:dyDescent="0.25">
      <c r="B46" s="631" t="s">
        <v>921</v>
      </c>
      <c r="C46" s="668"/>
      <c r="D46" s="668"/>
      <c r="E46" s="668"/>
      <c r="F46" s="669">
        <f>COUNTIF(G38:O38,"&lt;"&amp;0)+INDEX(G39:O39,,COUNTIF(G38:O38,"&lt;"&amp;0)+1)+YEARFRAC(G29,H29)-1</f>
        <v>0.5</v>
      </c>
    </row>
    <row r="47" spans="2:15" ht="10.15" customHeight="1" x14ac:dyDescent="0.2">
      <c r="B47" s="600"/>
      <c r="C47" s="666"/>
      <c r="D47" s="666"/>
      <c r="E47" s="666"/>
      <c r="F47" s="1043"/>
    </row>
    <row r="48" spans="2:15" ht="11.25" customHeight="1" x14ac:dyDescent="0.2">
      <c r="B48" s="600"/>
      <c r="C48" s="666"/>
      <c r="D48" s="666"/>
      <c r="E48" s="666"/>
      <c r="F48" s="1043"/>
    </row>
    <row r="49" ht="10.15" customHeight="1" x14ac:dyDescent="0.2"/>
    <row r="50" ht="10.15" customHeight="1" x14ac:dyDescent="0.2"/>
    <row r="51" ht="10.15" hidden="1" customHeight="1" x14ac:dyDescent="0.2"/>
    <row r="52" ht="16.899999999999999" hidden="1" customHeight="1" x14ac:dyDescent="0.2"/>
    <row r="53" ht="10.15" hidden="1" customHeight="1" x14ac:dyDescent="0.2"/>
    <row r="54" ht="10.15" hidden="1" customHeight="1" x14ac:dyDescent="0.2"/>
    <row r="55" ht="10.15" hidden="1" customHeight="1" x14ac:dyDescent="0.2"/>
    <row r="56" ht="10.15" hidden="1" customHeight="1" x14ac:dyDescent="0.2"/>
  </sheetData>
  <conditionalFormatting sqref="G3:K3 F8:L9 F29:L30">
    <cfRule type="containsText" dxfId="20" priority="1" operator="containsText" text="OK">
      <formula>NOT(ISERROR(SEARCH("OK",F3)))</formula>
    </cfRule>
    <cfRule type="containsText" dxfId="19" priority="2" operator="containsText" text="ERROR">
      <formula>NOT(ISERROR(SEARCH("ERROR",F3)))</formula>
    </cfRule>
  </conditionalFormatting>
  <pageMargins left="0.70866141732283472" right="0.70866141732283472" top="0.74803149606299213" bottom="0.74803149606299213" header="0.31496062992125984" footer="0.31496062992125984"/>
  <pageSetup scale="78" orientation="landscape" r:id="rId1"/>
  <headerFooter>
    <oddFooter>&amp;C&amp;7&amp;B&amp;"Arial"Document Classification: KPMG Confidential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CE085B-4587-4BD6-B36C-9C08DA152681}">
  <dimension ref="A1"/>
  <sheetViews>
    <sheetView workbookViewId="0">
      <selection activeCell="I30" sqref="I30"/>
    </sheetView>
  </sheetViews>
  <sheetFormatPr defaultColWidth="8.85546875" defaultRowHeight="11.25" x14ac:dyDescent="0.2"/>
  <cols>
    <col min="1" max="16384" width="8.85546875" style="1480"/>
  </cols>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B81191-4B2B-4611-AFB4-B85703C6F087}">
  <sheetPr>
    <tabColor rgb="FF00587A"/>
  </sheetPr>
  <dimension ref="A1"/>
  <sheetViews>
    <sheetView workbookViewId="0">
      <selection activeCell="O22" sqref="O22"/>
    </sheetView>
  </sheetViews>
  <sheetFormatPr defaultRowHeight="12.75" x14ac:dyDescent="0.2"/>
  <sheetData/>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F5217A-4536-4475-85C7-5C4FDB28F5A4}">
  <sheetPr>
    <tabColor rgb="FF00587A"/>
  </sheetPr>
  <dimension ref="A1:AS150"/>
  <sheetViews>
    <sheetView showGridLines="0" zoomScaleNormal="100" workbookViewId="0">
      <pane ySplit="2" topLeftCell="A3" activePane="bottomLeft" state="frozen"/>
      <selection pane="bottomLeft" activeCell="H144" sqref="H144"/>
    </sheetView>
  </sheetViews>
  <sheetFormatPr defaultColWidth="0" defaultRowHeight="0" customHeight="1" zeroHeight="1" x14ac:dyDescent="0.2"/>
  <cols>
    <col min="1" max="1" width="2.85546875" style="544" customWidth="1"/>
    <col min="2" max="2" width="17.42578125" style="569" customWidth="1"/>
    <col min="3" max="3" width="1.42578125" style="569" customWidth="1"/>
    <col min="4" max="4" width="1.42578125" style="544" customWidth="1"/>
    <col min="5" max="5" width="1.42578125" style="570" customWidth="1"/>
    <col min="6" max="6" width="10" style="570" customWidth="1"/>
    <col min="7" max="9" width="10" style="573" customWidth="1"/>
    <col min="10" max="11" width="10" style="574" customWidth="1"/>
    <col min="12" max="12" width="2.85546875" style="544" customWidth="1"/>
    <col min="13" max="14" width="9.140625" style="544" hidden="1" customWidth="1"/>
    <col min="15" max="15" width="12.85546875" style="544" hidden="1" customWidth="1"/>
    <col min="16" max="28" width="0" style="544" hidden="1" customWidth="1"/>
    <col min="29" max="40" width="9.140625" style="544" hidden="1" customWidth="1"/>
    <col min="41" max="45" width="0" style="544" hidden="1" customWidth="1"/>
    <col min="46" max="16384" width="9.140625" style="544" hidden="1"/>
  </cols>
  <sheetData>
    <row r="1" spans="1:40" s="565" customFormat="1" ht="11.25" x14ac:dyDescent="0.2">
      <c r="A1" s="559"/>
      <c r="B1" s="560"/>
      <c r="C1" s="560"/>
      <c r="D1" s="561"/>
      <c r="E1" s="561"/>
      <c r="F1" s="562"/>
      <c r="G1" s="563"/>
      <c r="H1" s="563"/>
      <c r="I1" s="563"/>
      <c r="J1" s="563"/>
      <c r="K1" s="563"/>
      <c r="L1" s="563"/>
      <c r="M1" s="563"/>
      <c r="N1" s="563"/>
      <c r="O1" s="563"/>
      <c r="P1" s="563"/>
      <c r="Q1" s="563"/>
      <c r="R1" s="563"/>
      <c r="S1" s="563"/>
      <c r="T1" s="563"/>
      <c r="U1" s="563"/>
      <c r="V1" s="563"/>
      <c r="W1" s="563"/>
      <c r="X1" s="563"/>
      <c r="Y1" s="563"/>
      <c r="Z1" s="563"/>
      <c r="AA1" s="563"/>
      <c r="AB1" s="563"/>
      <c r="AC1" s="564"/>
      <c r="AD1" s="564"/>
      <c r="AE1" s="564"/>
      <c r="AF1" s="564"/>
      <c r="AG1" s="564"/>
      <c r="AH1" s="564"/>
      <c r="AI1" s="564"/>
      <c r="AJ1" s="564"/>
      <c r="AK1" s="564"/>
      <c r="AL1" s="564"/>
      <c r="AM1" s="564"/>
      <c r="AN1" s="564"/>
    </row>
    <row r="2" spans="1:40" ht="21" customHeight="1" x14ac:dyDescent="0.2">
      <c r="A2" s="539"/>
      <c r="B2" s="545" t="s">
        <v>881</v>
      </c>
      <c r="C2" s="545"/>
      <c r="D2" s="545"/>
      <c r="E2" s="566"/>
      <c r="F2" s="567"/>
      <c r="G2" s="568">
        <v>2021</v>
      </c>
      <c r="H2" s="568">
        <v>2022</v>
      </c>
      <c r="I2" s="568">
        <f t="shared" ref="I2:K2" si="0">H2+1</f>
        <v>2023</v>
      </c>
      <c r="J2" s="568">
        <f t="shared" si="0"/>
        <v>2024</v>
      </c>
      <c r="K2" s="568">
        <f t="shared" si="0"/>
        <v>2025</v>
      </c>
      <c r="L2" s="542"/>
      <c r="M2" s="542"/>
      <c r="N2" s="542"/>
      <c r="O2" s="542"/>
      <c r="P2" s="542"/>
      <c r="Q2" s="542"/>
      <c r="R2" s="542"/>
      <c r="S2" s="542"/>
      <c r="T2" s="542"/>
      <c r="U2" s="542"/>
      <c r="V2" s="542"/>
      <c r="W2" s="542"/>
      <c r="X2" s="542"/>
      <c r="Y2" s="542"/>
      <c r="Z2" s="542"/>
      <c r="AA2" s="542"/>
      <c r="AB2" s="542"/>
    </row>
    <row r="3" spans="1:40" ht="11.25" x14ac:dyDescent="0.2">
      <c r="G3" s="571"/>
      <c r="H3" s="571"/>
      <c r="I3" s="571"/>
      <c r="J3" s="572"/>
      <c r="K3" s="572"/>
    </row>
    <row r="4" spans="1:40" ht="11.25" x14ac:dyDescent="0.2"/>
    <row r="5" spans="1:40" ht="11.25" x14ac:dyDescent="0.2"/>
    <row r="6" spans="1:40" s="582" customFormat="1" ht="19.5" customHeight="1" x14ac:dyDescent="0.2">
      <c r="A6" s="544"/>
      <c r="B6" s="575" t="s">
        <v>882</v>
      </c>
      <c r="C6" s="576"/>
      <c r="D6" s="577"/>
      <c r="E6" s="577"/>
      <c r="F6" s="578"/>
      <c r="G6" s="579"/>
      <c r="H6" s="579"/>
      <c r="I6" s="579"/>
      <c r="J6" s="579"/>
      <c r="K6" s="580"/>
      <c r="L6" s="544"/>
      <c r="M6" s="581"/>
      <c r="N6" s="581"/>
      <c r="O6" s="581"/>
      <c r="P6" s="581"/>
    </row>
    <row r="7" spans="1:40" ht="12" customHeight="1" x14ac:dyDescent="0.2">
      <c r="B7" s="583" t="s">
        <v>41</v>
      </c>
      <c r="C7" s="584"/>
      <c r="D7" s="585"/>
      <c r="E7" s="585"/>
      <c r="F7" s="585"/>
      <c r="G7" s="586" t="str">
        <f>"FY"&amp;RIGHT(G$2,2)</f>
        <v>FY21</v>
      </c>
      <c r="H7" s="586" t="str">
        <f t="shared" ref="H7:K7" si="1">"FY"&amp;RIGHT(H$2,2)</f>
        <v>FY22</v>
      </c>
      <c r="I7" s="586" t="str">
        <f t="shared" si="1"/>
        <v>FY23</v>
      </c>
      <c r="J7" s="586" t="str">
        <f t="shared" si="1"/>
        <v>FY24</v>
      </c>
      <c r="K7" s="587" t="str">
        <f t="shared" si="1"/>
        <v>FY25</v>
      </c>
    </row>
    <row r="8" spans="1:40" s="582" customFormat="1" ht="11.25" x14ac:dyDescent="0.2">
      <c r="A8" s="544"/>
      <c r="B8" s="588" t="s">
        <v>883</v>
      </c>
      <c r="C8" s="589"/>
      <c r="D8" s="589"/>
      <c r="E8" s="590"/>
      <c r="F8" s="591"/>
      <c r="G8" s="687">
        <v>1</v>
      </c>
      <c r="H8" s="687">
        <f>G8+1</f>
        <v>2</v>
      </c>
      <c r="I8" s="687">
        <f t="shared" ref="I8:K8" si="2">H8+1</f>
        <v>3</v>
      </c>
      <c r="J8" s="687">
        <f t="shared" si="2"/>
        <v>4</v>
      </c>
      <c r="K8" s="688">
        <f t="shared" si="2"/>
        <v>5</v>
      </c>
      <c r="L8" s="686"/>
      <c r="M8" s="581"/>
      <c r="N8" s="581"/>
      <c r="O8" s="581"/>
      <c r="P8" s="581"/>
    </row>
    <row r="9" spans="1:40" s="582" customFormat="1" ht="11.25" x14ac:dyDescent="0.2">
      <c r="A9" s="544"/>
      <c r="B9" s="593" t="s">
        <v>923</v>
      </c>
      <c r="C9" s="589"/>
      <c r="D9" s="589"/>
      <c r="E9" s="594"/>
      <c r="F9" s="673"/>
      <c r="G9" s="673">
        <v>1.4E-3</v>
      </c>
      <c r="H9" s="673">
        <f t="shared" ref="H9:K9" si="3">G9+0.003</f>
        <v>4.4000000000000003E-3</v>
      </c>
      <c r="I9" s="673">
        <f t="shared" si="3"/>
        <v>7.4000000000000003E-3</v>
      </c>
      <c r="J9" s="673">
        <f t="shared" si="3"/>
        <v>1.04E-2</v>
      </c>
      <c r="K9" s="689">
        <f t="shared" si="3"/>
        <v>1.3399999999999999E-2</v>
      </c>
      <c r="L9" s="544"/>
      <c r="M9" s="581"/>
      <c r="N9" s="581"/>
      <c r="O9" s="581"/>
      <c r="P9" s="581"/>
    </row>
    <row r="10" spans="1:40" s="582" customFormat="1" ht="11.25" x14ac:dyDescent="0.2">
      <c r="A10" s="544"/>
      <c r="B10" s="593" t="s">
        <v>924</v>
      </c>
      <c r="C10" s="589"/>
      <c r="D10" s="589"/>
      <c r="E10" s="594"/>
      <c r="F10" s="673"/>
      <c r="G10" s="673">
        <v>2.9899999999999999E-2</v>
      </c>
      <c r="H10" s="673">
        <f t="shared" ref="H10:K10" si="4">G10</f>
        <v>2.9899999999999999E-2</v>
      </c>
      <c r="I10" s="673">
        <f t="shared" si="4"/>
        <v>2.9899999999999999E-2</v>
      </c>
      <c r="J10" s="673">
        <f t="shared" si="4"/>
        <v>2.9899999999999999E-2</v>
      </c>
      <c r="K10" s="689">
        <f t="shared" si="4"/>
        <v>2.9899999999999999E-2</v>
      </c>
      <c r="L10" s="544"/>
      <c r="M10" s="581"/>
      <c r="N10" s="581"/>
      <c r="O10" s="581"/>
      <c r="P10" s="581"/>
    </row>
    <row r="11" spans="1:40" s="681" customFormat="1" ht="11.25" x14ac:dyDescent="0.2">
      <c r="A11" s="657"/>
      <c r="B11" s="682" t="s">
        <v>884</v>
      </c>
      <c r="C11" s="683"/>
      <c r="D11" s="683"/>
      <c r="E11" s="684"/>
      <c r="F11" s="685"/>
      <c r="G11" s="685">
        <f t="shared" ref="G11:K11" si="5">SUM(G9:G10)</f>
        <v>3.1300000000000001E-2</v>
      </c>
      <c r="H11" s="685">
        <f t="shared" si="5"/>
        <v>3.4299999999999997E-2</v>
      </c>
      <c r="I11" s="685">
        <f t="shared" si="5"/>
        <v>3.73E-2</v>
      </c>
      <c r="J11" s="685">
        <f t="shared" si="5"/>
        <v>4.0300000000000002E-2</v>
      </c>
      <c r="K11" s="690">
        <f t="shared" si="5"/>
        <v>4.3299999999999998E-2</v>
      </c>
      <c r="L11" s="657"/>
      <c r="M11" s="680"/>
      <c r="N11" s="680"/>
      <c r="O11" s="680"/>
      <c r="P11" s="680"/>
    </row>
    <row r="12" spans="1:40" s="681" customFormat="1" ht="11.25" x14ac:dyDescent="0.2">
      <c r="A12" s="657"/>
      <c r="B12" s="674"/>
      <c r="C12" s="675"/>
      <c r="D12" s="675"/>
      <c r="E12" s="676"/>
      <c r="F12" s="677"/>
      <c r="G12" s="678"/>
      <c r="H12" s="678"/>
      <c r="I12" s="678"/>
      <c r="J12" s="678"/>
      <c r="K12" s="679"/>
      <c r="L12" s="657"/>
      <c r="M12" s="680"/>
      <c r="N12" s="680"/>
      <c r="O12" s="680"/>
      <c r="P12" s="680"/>
    </row>
    <row r="13" spans="1:40" s="582" customFormat="1" ht="11.25" x14ac:dyDescent="0.2">
      <c r="A13" s="544"/>
      <c r="B13" s="593" t="s">
        <v>885</v>
      </c>
      <c r="C13" s="589"/>
      <c r="D13" s="589"/>
      <c r="E13" s="595"/>
      <c r="F13" s="861">
        <v>10</v>
      </c>
      <c r="G13" s="596"/>
      <c r="H13" s="596"/>
      <c r="I13" s="596"/>
      <c r="J13" s="596"/>
      <c r="K13" s="597"/>
      <c r="L13" s="544"/>
      <c r="M13" s="581"/>
      <c r="N13" s="581"/>
      <c r="O13" s="581"/>
      <c r="P13" s="581"/>
    </row>
    <row r="14" spans="1:40" s="582" customFormat="1" ht="11.25" x14ac:dyDescent="0.2">
      <c r="A14" s="544"/>
      <c r="B14" s="598" t="s">
        <v>886</v>
      </c>
      <c r="C14" s="599"/>
      <c r="D14" s="600"/>
      <c r="E14" s="601"/>
      <c r="F14" s="596">
        <v>0</v>
      </c>
      <c r="G14" s="602"/>
      <c r="H14" s="602"/>
      <c r="I14" s="602"/>
      <c r="J14" s="602"/>
      <c r="K14" s="603"/>
      <c r="L14" s="544"/>
      <c r="M14" s="581"/>
      <c r="N14" s="581"/>
      <c r="O14" s="581"/>
      <c r="P14" s="581"/>
    </row>
    <row r="15" spans="1:40" s="582" customFormat="1" ht="11.25" x14ac:dyDescent="0.2">
      <c r="A15" s="544"/>
      <c r="B15" s="598"/>
      <c r="C15" s="599"/>
      <c r="D15" s="600"/>
      <c r="E15" s="601"/>
      <c r="F15" s="596"/>
      <c r="G15" s="602"/>
      <c r="H15" s="602"/>
      <c r="I15" s="602"/>
      <c r="J15" s="602"/>
      <c r="K15" s="603"/>
      <c r="L15" s="544"/>
      <c r="M15" s="581"/>
      <c r="N15" s="581"/>
      <c r="O15" s="581"/>
      <c r="P15" s="581"/>
    </row>
    <row r="16" spans="1:40" s="582" customFormat="1" ht="11.25" x14ac:dyDescent="0.2">
      <c r="A16" s="544"/>
      <c r="B16" s="588" t="s">
        <v>887</v>
      </c>
      <c r="C16" s="599"/>
      <c r="D16" s="600"/>
      <c r="E16" s="601"/>
      <c r="F16" s="604"/>
      <c r="G16" s="602"/>
      <c r="H16" s="602"/>
      <c r="I16" s="602"/>
      <c r="J16" s="602"/>
      <c r="K16" s="603"/>
      <c r="L16" s="544"/>
      <c r="M16" s="581"/>
      <c r="N16" s="581"/>
      <c r="O16" s="581"/>
      <c r="P16" s="581"/>
    </row>
    <row r="17" spans="1:16" s="582" customFormat="1" ht="11.25" x14ac:dyDescent="0.2">
      <c r="A17" s="544"/>
      <c r="B17" s="598" t="s">
        <v>888</v>
      </c>
      <c r="C17" s="600"/>
      <c r="D17" s="600"/>
      <c r="E17" s="605"/>
      <c r="F17" s="604"/>
      <c r="G17" s="602">
        <v>0</v>
      </c>
      <c r="H17" s="602">
        <f>$F$14</f>
        <v>0</v>
      </c>
      <c r="I17" s="602">
        <f>H19</f>
        <v>0</v>
      </c>
      <c r="J17" s="602">
        <f t="shared" ref="J17:K17" si="6">I19</f>
        <v>0</v>
      </c>
      <c r="K17" s="603">
        <f t="shared" si="6"/>
        <v>0</v>
      </c>
      <c r="L17" s="544"/>
      <c r="M17" s="581"/>
      <c r="N17" s="581"/>
      <c r="O17" s="581"/>
      <c r="P17" s="581"/>
    </row>
    <row r="18" spans="1:16" s="582" customFormat="1" ht="11.25" x14ac:dyDescent="0.2">
      <c r="A18" s="544"/>
      <c r="B18" s="598" t="s">
        <v>889</v>
      </c>
      <c r="C18" s="600"/>
      <c r="D18" s="600"/>
      <c r="E18" s="605"/>
      <c r="F18" s="604"/>
      <c r="G18" s="602">
        <v>0</v>
      </c>
      <c r="H18" s="602">
        <f>PMT(H11,$F$13,$F14)-H21</f>
        <v>0</v>
      </c>
      <c r="I18" s="602">
        <f>PMT(I11,$F$13,$F14)-I21</f>
        <v>0</v>
      </c>
      <c r="J18" s="602">
        <f>PMT(J11,$F$13,$F14)-J21</f>
        <v>0</v>
      </c>
      <c r="K18" s="603">
        <f>PMT(K11,$F$13,$F14)-K21</f>
        <v>0</v>
      </c>
      <c r="L18" s="544"/>
      <c r="M18" s="581"/>
      <c r="N18" s="581"/>
      <c r="O18" s="581"/>
      <c r="P18" s="581"/>
    </row>
    <row r="19" spans="1:16" s="582" customFormat="1" ht="11.25" x14ac:dyDescent="0.2">
      <c r="A19" s="544"/>
      <c r="B19" s="606" t="s">
        <v>890</v>
      </c>
      <c r="C19" s="607"/>
      <c r="D19" s="607"/>
      <c r="E19" s="608"/>
      <c r="F19" s="609"/>
      <c r="G19" s="610">
        <f>SUM(G17:G18)</f>
        <v>0</v>
      </c>
      <c r="H19" s="610">
        <f t="shared" ref="H19:K19" si="7">SUM(H17:H18)</f>
        <v>0</v>
      </c>
      <c r="I19" s="610">
        <f t="shared" si="7"/>
        <v>0</v>
      </c>
      <c r="J19" s="610">
        <f t="shared" si="7"/>
        <v>0</v>
      </c>
      <c r="K19" s="611">
        <f t="shared" si="7"/>
        <v>0</v>
      </c>
      <c r="L19" s="544"/>
      <c r="M19" s="581"/>
      <c r="N19" s="581"/>
      <c r="O19" s="581"/>
      <c r="P19" s="581"/>
    </row>
    <row r="20" spans="1:16" s="582" customFormat="1" ht="11.25" x14ac:dyDescent="0.2">
      <c r="A20" s="544"/>
      <c r="B20" s="612"/>
      <c r="C20" s="613"/>
      <c r="D20" s="613"/>
      <c r="E20" s="614"/>
      <c r="F20" s="615"/>
      <c r="G20" s="616"/>
      <c r="H20" s="616"/>
      <c r="I20" s="616"/>
      <c r="J20" s="616"/>
      <c r="K20" s="617"/>
      <c r="L20" s="544"/>
      <c r="M20" s="581"/>
      <c r="N20" s="581"/>
      <c r="O20" s="581"/>
      <c r="P20" s="581"/>
    </row>
    <row r="21" spans="1:16" s="582" customFormat="1" ht="11.25" x14ac:dyDescent="0.2">
      <c r="A21" s="544"/>
      <c r="B21" s="612" t="s">
        <v>891</v>
      </c>
      <c r="C21" s="613"/>
      <c r="D21" s="613"/>
      <c r="E21" s="618"/>
      <c r="F21" s="619"/>
      <c r="G21" s="616">
        <v>0</v>
      </c>
      <c r="H21" s="616">
        <f>IPMT(H11,H8,$F$13,$F$14)</f>
        <v>0</v>
      </c>
      <c r="I21" s="616">
        <f>IPMT(I11,I8,$F$13,$F$14)</f>
        <v>0</v>
      </c>
      <c r="J21" s="616">
        <f>IPMT(J11,J8,$F$13,$F$14)</f>
        <v>0</v>
      </c>
      <c r="K21" s="617">
        <f>IPMT(K11,K8,$F$13,$F$14)</f>
        <v>0</v>
      </c>
      <c r="L21" s="544"/>
      <c r="M21" s="581"/>
      <c r="N21" s="581"/>
      <c r="O21" s="581"/>
      <c r="P21" s="581"/>
    </row>
    <row r="22" spans="1:16" ht="12" thickBot="1" x14ac:dyDescent="0.25">
      <c r="B22" s="620" t="s">
        <v>892</v>
      </c>
      <c r="C22" s="621"/>
      <c r="D22" s="621"/>
      <c r="E22" s="622"/>
      <c r="F22" s="623"/>
      <c r="G22" s="624">
        <v>0</v>
      </c>
      <c r="H22" s="624">
        <f t="shared" ref="H22:K22" si="8">H21+H18</f>
        <v>0</v>
      </c>
      <c r="I22" s="624">
        <f t="shared" si="8"/>
        <v>0</v>
      </c>
      <c r="J22" s="624">
        <f t="shared" si="8"/>
        <v>0</v>
      </c>
      <c r="K22" s="625">
        <f t="shared" si="8"/>
        <v>0</v>
      </c>
    </row>
    <row r="23" spans="1:16" ht="11.25" x14ac:dyDescent="0.2">
      <c r="J23" s="573"/>
    </row>
    <row r="24" spans="1:16" ht="11.25" x14ac:dyDescent="0.2"/>
    <row r="25" spans="1:16" s="582" customFormat="1" ht="19.5" customHeight="1" x14ac:dyDescent="0.2">
      <c r="A25" s="544"/>
      <c r="B25" s="575" t="s">
        <v>893</v>
      </c>
      <c r="C25" s="576"/>
      <c r="D25" s="577"/>
      <c r="E25" s="577"/>
      <c r="F25" s="578"/>
      <c r="G25" s="579"/>
      <c r="H25" s="579"/>
      <c r="I25" s="579"/>
      <c r="J25" s="579"/>
      <c r="K25" s="580"/>
      <c r="L25" s="544"/>
      <c r="M25" s="581"/>
      <c r="N25" s="581"/>
      <c r="O25" s="581"/>
      <c r="P25" s="581"/>
    </row>
    <row r="26" spans="1:16" ht="11.25" x14ac:dyDescent="0.2">
      <c r="B26" s="583"/>
      <c r="C26" s="584"/>
      <c r="D26" s="585"/>
      <c r="E26" s="585"/>
      <c r="F26" s="585"/>
      <c r="G26" s="626" t="s">
        <v>901</v>
      </c>
      <c r="H26" s="586" t="s">
        <v>902</v>
      </c>
      <c r="I26" s="586" t="s">
        <v>903</v>
      </c>
      <c r="J26" s="586" t="s">
        <v>904</v>
      </c>
      <c r="K26" s="587" t="s">
        <v>905</v>
      </c>
    </row>
    <row r="27" spans="1:16" ht="11.25" x14ac:dyDescent="0.2">
      <c r="B27" s="598" t="s">
        <v>894</v>
      </c>
      <c r="C27" s="600"/>
      <c r="D27" s="627"/>
      <c r="E27" s="628"/>
      <c r="F27" s="628"/>
      <c r="G27" s="629">
        <v>0</v>
      </c>
      <c r="H27" s="629">
        <f>SUM(Projections!J68,Projections!J75)/Projections!J64</f>
        <v>0</v>
      </c>
      <c r="I27" s="629">
        <f>SUM(Projections!K68,Projections!K75)/Projections!K64</f>
        <v>0</v>
      </c>
      <c r="J27" s="629">
        <f>SUM(Projections!L68,Projections!L75)/Projections!L64</f>
        <v>0</v>
      </c>
      <c r="K27" s="630">
        <f>SUM(Projections!M68,Projections!M75)/Projections!M64</f>
        <v>0</v>
      </c>
    </row>
    <row r="28" spans="1:16" ht="11.25" x14ac:dyDescent="0.2">
      <c r="B28" s="598" t="s">
        <v>895</v>
      </c>
      <c r="C28" s="600"/>
      <c r="D28" s="627"/>
      <c r="E28" s="628"/>
      <c r="F28" s="628"/>
      <c r="G28" s="629">
        <v>0</v>
      </c>
      <c r="H28" s="629">
        <f>SUM(Projections!J68,Projections!J75)/Projections!J87</f>
        <v>0</v>
      </c>
      <c r="I28" s="629">
        <f>SUM(Projections!K68,Projections!K75)/Projections!K87</f>
        <v>0</v>
      </c>
      <c r="J28" s="629">
        <f>SUM(Projections!L68,Projections!L75)/Projections!L87</f>
        <v>0</v>
      </c>
      <c r="K28" s="630">
        <f>SUM(Projections!M68,Projections!M75)/Projections!M87</f>
        <v>0</v>
      </c>
    </row>
    <row r="29" spans="1:16" ht="11.25" x14ac:dyDescent="0.2">
      <c r="B29" s="598" t="s">
        <v>896</v>
      </c>
      <c r="C29" s="600"/>
      <c r="D29" s="627"/>
      <c r="E29" s="628"/>
      <c r="F29" s="628"/>
      <c r="G29" s="691">
        <v>0</v>
      </c>
      <c r="H29" s="629" t="e">
        <f>-Projections!J34/H21</f>
        <v>#DIV/0!</v>
      </c>
      <c r="I29" s="629" t="e">
        <f>-Projections!K34/I21</f>
        <v>#DIV/0!</v>
      </c>
      <c r="J29" s="629" t="e">
        <f>-Projections!L34/J21</f>
        <v>#DIV/0!</v>
      </c>
      <c r="K29" s="630" t="e">
        <f>-Projections!M34/K21</f>
        <v>#DIV/0!</v>
      </c>
    </row>
    <row r="30" spans="1:16" ht="12" thickBot="1" x14ac:dyDescent="0.25">
      <c r="B30" s="631" t="s">
        <v>897</v>
      </c>
      <c r="C30" s="632"/>
      <c r="D30" s="633"/>
      <c r="E30" s="634"/>
      <c r="F30" s="634"/>
      <c r="G30" s="635">
        <v>0</v>
      </c>
      <c r="H30" s="635">
        <f>-H22/Projections!J103</f>
        <v>0</v>
      </c>
      <c r="I30" s="635">
        <f>-I22/Projections!K103</f>
        <v>0</v>
      </c>
      <c r="J30" s="635">
        <f>-J22/Projections!L103</f>
        <v>0</v>
      </c>
      <c r="K30" s="636">
        <f>-K22/Projections!M103</f>
        <v>0</v>
      </c>
    </row>
    <row r="31" spans="1:16" ht="11.25" x14ac:dyDescent="0.2"/>
    <row r="32" spans="1:16" ht="11.25" x14ac:dyDescent="0.2">
      <c r="G32" s="637"/>
    </row>
    <row r="33" ht="11.25" x14ac:dyDescent="0.2"/>
    <row r="34" ht="11.25" x14ac:dyDescent="0.2"/>
    <row r="35" ht="11.25" hidden="1" x14ac:dyDescent="0.2"/>
    <row r="36" ht="11.25" hidden="1" x14ac:dyDescent="0.2"/>
    <row r="37" ht="11.25" hidden="1" x14ac:dyDescent="0.2"/>
    <row r="38" ht="11.25" hidden="1" x14ac:dyDescent="0.2"/>
    <row r="39" ht="11.25" hidden="1" x14ac:dyDescent="0.2"/>
    <row r="40" ht="11.25" hidden="1" x14ac:dyDescent="0.2"/>
    <row r="41" ht="11.25" hidden="1" x14ac:dyDescent="0.2"/>
    <row r="42" ht="11.25" hidden="1" x14ac:dyDescent="0.2"/>
    <row r="43" ht="11.25" hidden="1" x14ac:dyDescent="0.2"/>
    <row r="44" ht="11.25" hidden="1" x14ac:dyDescent="0.2"/>
    <row r="45" ht="11.25" hidden="1" x14ac:dyDescent="0.2"/>
    <row r="46" ht="11.25" hidden="1" x14ac:dyDescent="0.2"/>
    <row r="47" ht="11.25" hidden="1" x14ac:dyDescent="0.2"/>
    <row r="48" ht="11.25" hidden="1" x14ac:dyDescent="0.2"/>
    <row r="49" ht="11.25" hidden="1" x14ac:dyDescent="0.2"/>
    <row r="50" ht="11.25" hidden="1" x14ac:dyDescent="0.2"/>
    <row r="51" ht="11.25" hidden="1" x14ac:dyDescent="0.2"/>
    <row r="52" ht="11.25" hidden="1" x14ac:dyDescent="0.2"/>
    <row r="53" ht="11.25" hidden="1" x14ac:dyDescent="0.2"/>
    <row r="54" ht="11.25" hidden="1" x14ac:dyDescent="0.2"/>
    <row r="55" ht="11.25" hidden="1" x14ac:dyDescent="0.2"/>
    <row r="56" ht="11.25" hidden="1" x14ac:dyDescent="0.2"/>
    <row r="57" ht="11.25" hidden="1" x14ac:dyDescent="0.2"/>
    <row r="58" ht="11.25" hidden="1" x14ac:dyDescent="0.2"/>
    <row r="59" ht="11.25" hidden="1" x14ac:dyDescent="0.2"/>
    <row r="60" ht="11.25" hidden="1" x14ac:dyDescent="0.2"/>
    <row r="61" ht="11.25" hidden="1" x14ac:dyDescent="0.2"/>
    <row r="62" ht="11.25" hidden="1" x14ac:dyDescent="0.2"/>
    <row r="63" ht="11.25" hidden="1" x14ac:dyDescent="0.2"/>
    <row r="64" ht="11.25" hidden="1" x14ac:dyDescent="0.2"/>
    <row r="65" ht="11.25" hidden="1" x14ac:dyDescent="0.2"/>
    <row r="66" ht="11.25" hidden="1" x14ac:dyDescent="0.2"/>
    <row r="67" ht="11.25" hidden="1" x14ac:dyDescent="0.2"/>
    <row r="68" ht="11.25" hidden="1" x14ac:dyDescent="0.2"/>
    <row r="69" ht="11.25" hidden="1" x14ac:dyDescent="0.2"/>
    <row r="70" ht="11.25" hidden="1" x14ac:dyDescent="0.2"/>
    <row r="71" ht="11.25" hidden="1" x14ac:dyDescent="0.2"/>
    <row r="72" ht="11.25" hidden="1" x14ac:dyDescent="0.2"/>
    <row r="73" ht="11.25" hidden="1" x14ac:dyDescent="0.2"/>
    <row r="74" ht="11.25" hidden="1" x14ac:dyDescent="0.2"/>
    <row r="75" ht="11.25" hidden="1" x14ac:dyDescent="0.2"/>
    <row r="76" ht="11.25" hidden="1" x14ac:dyDescent="0.2"/>
    <row r="77" ht="11.25" hidden="1" x14ac:dyDescent="0.2"/>
    <row r="78" ht="11.25" hidden="1" x14ac:dyDescent="0.2"/>
    <row r="79" ht="11.25" hidden="1" x14ac:dyDescent="0.2"/>
    <row r="80" ht="11.25" hidden="1" x14ac:dyDescent="0.2"/>
    <row r="81" ht="11.25" hidden="1" x14ac:dyDescent="0.2"/>
    <row r="82" ht="11.25" hidden="1" x14ac:dyDescent="0.2"/>
    <row r="83" ht="11.25" hidden="1" x14ac:dyDescent="0.2"/>
    <row r="84" ht="11.25" hidden="1" x14ac:dyDescent="0.2"/>
    <row r="85" ht="11.25" hidden="1" x14ac:dyDescent="0.2"/>
    <row r="86" ht="11.25" hidden="1" x14ac:dyDescent="0.2"/>
    <row r="87" ht="11.25" hidden="1" x14ac:dyDescent="0.2"/>
    <row r="88" ht="11.25" hidden="1" x14ac:dyDescent="0.2"/>
    <row r="89" ht="11.25" hidden="1" x14ac:dyDescent="0.2"/>
    <row r="90" ht="11.25" hidden="1" x14ac:dyDescent="0.2"/>
    <row r="91" ht="11.25" hidden="1" x14ac:dyDescent="0.2"/>
    <row r="92" ht="11.25" hidden="1" x14ac:dyDescent="0.2"/>
    <row r="93" ht="11.25" hidden="1" x14ac:dyDescent="0.2"/>
    <row r="94" ht="11.25" hidden="1" x14ac:dyDescent="0.2"/>
    <row r="95" ht="11.25" hidden="1" x14ac:dyDescent="0.2"/>
    <row r="96" ht="11.25" hidden="1" x14ac:dyDescent="0.2"/>
    <row r="97" ht="11.25" hidden="1" x14ac:dyDescent="0.2"/>
    <row r="98" ht="11.25" hidden="1" x14ac:dyDescent="0.2"/>
    <row r="99" ht="11.25" hidden="1" x14ac:dyDescent="0.2"/>
    <row r="100" ht="11.25" hidden="1" x14ac:dyDescent="0.2"/>
    <row r="101" ht="11.25" hidden="1" x14ac:dyDescent="0.2"/>
    <row r="102" ht="11.25" hidden="1" x14ac:dyDescent="0.2"/>
    <row r="103" ht="11.25" hidden="1" x14ac:dyDescent="0.2"/>
    <row r="104" ht="11.25" hidden="1" x14ac:dyDescent="0.2"/>
    <row r="105" ht="11.25" hidden="1" x14ac:dyDescent="0.2"/>
    <row r="106" ht="11.25" hidden="1" x14ac:dyDescent="0.2"/>
    <row r="107" ht="11.25" hidden="1" x14ac:dyDescent="0.2"/>
    <row r="108" ht="11.25" hidden="1" x14ac:dyDescent="0.2"/>
    <row r="109" ht="11.25" hidden="1" x14ac:dyDescent="0.2"/>
    <row r="110" ht="11.25" hidden="1" x14ac:dyDescent="0.2"/>
    <row r="111" ht="11.25" hidden="1" x14ac:dyDescent="0.2"/>
    <row r="112" ht="11.25" hidden="1" x14ac:dyDescent="0.2"/>
    <row r="113" ht="11.25" hidden="1" x14ac:dyDescent="0.2"/>
    <row r="114" ht="11.25" hidden="1" x14ac:dyDescent="0.2"/>
    <row r="115" ht="11.25" hidden="1" x14ac:dyDescent="0.2"/>
    <row r="116" ht="11.25" hidden="1" x14ac:dyDescent="0.2"/>
    <row r="117" ht="11.25" hidden="1" x14ac:dyDescent="0.2"/>
    <row r="118" ht="11.25" hidden="1" x14ac:dyDescent="0.2"/>
    <row r="119" ht="11.25" hidden="1" x14ac:dyDescent="0.2"/>
    <row r="120" ht="11.25" hidden="1" x14ac:dyDescent="0.2"/>
    <row r="121" ht="11.25" hidden="1" x14ac:dyDescent="0.2"/>
    <row r="122" ht="11.25" hidden="1" x14ac:dyDescent="0.2"/>
    <row r="123" ht="11.25" hidden="1" x14ac:dyDescent="0.2"/>
    <row r="124" ht="11.25" hidden="1" x14ac:dyDescent="0.2"/>
    <row r="125" ht="11.25" hidden="1" x14ac:dyDescent="0.2"/>
    <row r="126" ht="11.25" hidden="1" x14ac:dyDescent="0.2"/>
    <row r="127" ht="11.25" hidden="1" x14ac:dyDescent="0.2"/>
    <row r="128" ht="11.25" hidden="1" x14ac:dyDescent="0.2"/>
    <row r="129" ht="11.25" hidden="1" x14ac:dyDescent="0.2"/>
    <row r="130" ht="11.25" hidden="1" x14ac:dyDescent="0.2"/>
    <row r="131" ht="11.25" hidden="1" x14ac:dyDescent="0.2"/>
    <row r="132" ht="11.25" hidden="1" x14ac:dyDescent="0.2"/>
    <row r="133" ht="11.25" hidden="1" x14ac:dyDescent="0.2"/>
    <row r="134" ht="11.25" hidden="1" x14ac:dyDescent="0.2"/>
    <row r="135" ht="11.25" hidden="1" x14ac:dyDescent="0.2"/>
    <row r="136" ht="11.25" hidden="1" x14ac:dyDescent="0.2"/>
    <row r="137" ht="11.25" hidden="1" x14ac:dyDescent="0.2"/>
    <row r="138" ht="11.25" hidden="1" x14ac:dyDescent="0.2"/>
    <row r="139" ht="11.25" hidden="1" x14ac:dyDescent="0.2"/>
    <row r="140" ht="11.25" hidden="1" x14ac:dyDescent="0.2"/>
    <row r="141" ht="11.25" hidden="1" x14ac:dyDescent="0.2"/>
    <row r="142" ht="11.25" x14ac:dyDescent="0.2"/>
    <row r="143" ht="11.25" x14ac:dyDescent="0.2"/>
    <row r="144" ht="11.25" x14ac:dyDescent="0.2"/>
    <row r="145" ht="11.25" hidden="1" customHeight="1" x14ac:dyDescent="0.2"/>
    <row r="146" ht="11.25" hidden="1" customHeight="1" x14ac:dyDescent="0.2"/>
    <row r="147" ht="11.25" hidden="1" customHeight="1" x14ac:dyDescent="0.2"/>
    <row r="148" ht="11.25" hidden="1" customHeight="1" x14ac:dyDescent="0.2"/>
    <row r="149" ht="11.25" hidden="1" customHeight="1" x14ac:dyDescent="0.2"/>
    <row r="150" ht="11.25" hidden="1" customHeight="1" x14ac:dyDescent="0.2"/>
  </sheetData>
  <conditionalFormatting sqref="G3:K3">
    <cfRule type="containsText" dxfId="18" priority="3" operator="containsText" text="OK">
      <formula>NOT(ISERROR(SEARCH("OK",G3)))</formula>
    </cfRule>
    <cfRule type="containsText" dxfId="17" priority="4" operator="containsText" text="ERROR">
      <formula>NOT(ISERROR(SEARCH("ERROR",G3)))</formula>
    </cfRule>
  </conditionalFormatting>
  <pageMargins left="0.70866141732283472" right="0.70866141732283472" top="0.74803149606299213" bottom="0.74803149606299213" header="0.31496062992125984" footer="0.31496062992125984"/>
  <pageSetup scale="78" orientation="landscape" r:id="rId1"/>
  <headerFooter>
    <oddFooter>&amp;C&amp;7&amp;B&amp;"Arial"Document Classification: KPMG Confidential</oddFooter>
  </headerFooter>
  <ignoredErrors>
    <ignoredError sqref="G11" formulaRange="1"/>
    <ignoredError sqref="G26:K26" twoDigitTextYear="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B09F2-B77D-4638-AAAE-A41C426FFBF9}">
  <sheetPr>
    <tabColor rgb="FF0000FF"/>
  </sheetPr>
  <dimension ref="A1:S78"/>
  <sheetViews>
    <sheetView showGridLines="0" workbookViewId="0">
      <selection activeCell="B17" sqref="B17"/>
    </sheetView>
  </sheetViews>
  <sheetFormatPr defaultColWidth="8.85546875" defaultRowHeight="11.25" x14ac:dyDescent="0.2"/>
  <cols>
    <col min="1" max="1" width="67.42578125" style="741" bestFit="1" customWidth="1"/>
    <col min="2" max="2" width="14" style="741" customWidth="1"/>
    <col min="3" max="10" width="8.85546875" style="741"/>
    <col min="11" max="11" width="10.28515625" style="741" bestFit="1" customWidth="1"/>
    <col min="12" max="12" width="8.85546875" style="741"/>
    <col min="13" max="13" width="28.28515625" style="741" customWidth="1"/>
    <col min="14" max="16384" width="8.85546875" style="741"/>
  </cols>
  <sheetData>
    <row r="1" spans="1:19" x14ac:dyDescent="0.2">
      <c r="A1" s="740"/>
      <c r="B1" s="740"/>
      <c r="C1" s="740"/>
      <c r="D1" s="740"/>
      <c r="E1" s="740"/>
      <c r="F1" s="740"/>
      <c r="G1" s="740"/>
      <c r="H1" s="740"/>
      <c r="I1" s="740"/>
      <c r="J1" s="740"/>
    </row>
    <row r="2" spans="1:19" ht="12" x14ac:dyDescent="0.2">
      <c r="A2" s="740"/>
      <c r="B2" s="374" t="str">
        <f>CONCATENATE("Informácie k finančným výkazom k 31/12/2022: ","Názov")</f>
        <v>Informácie k finančným výkazom k 31/12/2022: Názov</v>
      </c>
      <c r="C2" s="374"/>
      <c r="D2" s="740"/>
      <c r="E2" s="742"/>
      <c r="F2" s="740"/>
      <c r="G2" s="740"/>
      <c r="H2" s="740"/>
      <c r="I2" s="740"/>
      <c r="J2" s="740"/>
    </row>
    <row r="3" spans="1:19" x14ac:dyDescent="0.2">
      <c r="B3" s="819">
        <v>44561</v>
      </c>
    </row>
    <row r="4" spans="1:19" ht="12" thickBot="1" x14ac:dyDescent="0.25"/>
    <row r="5" spans="1:19" ht="12" thickBot="1" x14ac:dyDescent="0.25">
      <c r="A5" s="745" t="s">
        <v>927</v>
      </c>
      <c r="B5" s="746" t="s">
        <v>928</v>
      </c>
      <c r="C5" s="747" t="s">
        <v>929</v>
      </c>
      <c r="D5" s="743"/>
      <c r="E5" s="748"/>
      <c r="F5" s="1653" t="s">
        <v>930</v>
      </c>
      <c r="G5" s="1654"/>
      <c r="H5" s="1654"/>
      <c r="I5" s="1654"/>
      <c r="J5" s="1654"/>
      <c r="K5" s="1654"/>
      <c r="L5" s="1654"/>
      <c r="M5" s="1654"/>
      <c r="N5" s="1654"/>
      <c r="O5" s="1654"/>
      <c r="P5" s="1654"/>
      <c r="Q5" s="1654"/>
      <c r="R5" s="1654"/>
      <c r="S5" s="1655"/>
    </row>
    <row r="6" spans="1:19" ht="10.15" customHeight="1" x14ac:dyDescent="0.2">
      <c r="A6" s="820" t="s">
        <v>993</v>
      </c>
      <c r="B6" s="749"/>
      <c r="C6" s="821" t="str">
        <f>IFERROR(B6/B8,"-")</f>
        <v>-</v>
      </c>
      <c r="D6" s="750"/>
      <c r="E6" s="751"/>
      <c r="F6" s="1656" t="s">
        <v>1191</v>
      </c>
      <c r="G6" s="1657"/>
      <c r="H6" s="1657"/>
      <c r="I6" s="1657"/>
      <c r="J6" s="1657"/>
      <c r="K6" s="1657"/>
      <c r="L6" s="1657"/>
      <c r="M6" s="1657"/>
      <c r="N6" s="1657"/>
      <c r="O6" s="1657"/>
      <c r="P6" s="1657"/>
      <c r="Q6" s="1657"/>
      <c r="R6" s="1657"/>
      <c r="S6" s="1658"/>
    </row>
    <row r="7" spans="1:19" x14ac:dyDescent="0.2">
      <c r="A7" s="822" t="s">
        <v>994</v>
      </c>
      <c r="B7" s="823"/>
      <c r="C7" s="821" t="str">
        <f>IFERROR(B7/B9,"-")</f>
        <v>-</v>
      </c>
      <c r="D7" s="750"/>
      <c r="E7" s="751"/>
      <c r="F7" s="1659"/>
      <c r="G7" s="1660"/>
      <c r="H7" s="1660"/>
      <c r="I7" s="1660"/>
      <c r="J7" s="1660"/>
      <c r="K7" s="1660"/>
      <c r="L7" s="1660"/>
      <c r="M7" s="1660"/>
      <c r="N7" s="1660"/>
      <c r="O7" s="1660"/>
      <c r="P7" s="1660"/>
      <c r="Q7" s="1660"/>
      <c r="R7" s="1660"/>
      <c r="S7" s="1661"/>
    </row>
    <row r="8" spans="1:19" ht="12" thickBot="1" x14ac:dyDescent="0.25">
      <c r="A8" s="752" t="s">
        <v>931</v>
      </c>
      <c r="B8" s="753">
        <f>SUM(B6:B7)</f>
        <v>0</v>
      </c>
      <c r="C8" s="754">
        <v>1</v>
      </c>
      <c r="D8" s="750"/>
      <c r="E8" s="755"/>
      <c r="F8" s="1659"/>
      <c r="G8" s="1660"/>
      <c r="H8" s="1660"/>
      <c r="I8" s="1660"/>
      <c r="J8" s="1660"/>
      <c r="K8" s="1660"/>
      <c r="L8" s="1660"/>
      <c r="M8" s="1660"/>
      <c r="N8" s="1660"/>
      <c r="O8" s="1660"/>
      <c r="P8" s="1660"/>
      <c r="Q8" s="1660"/>
      <c r="R8" s="1660"/>
      <c r="S8" s="1661"/>
    </row>
    <row r="9" spans="1:19" x14ac:dyDescent="0.2">
      <c r="A9" s="744"/>
      <c r="B9" s="755"/>
      <c r="C9" s="755"/>
      <c r="D9" s="744"/>
      <c r="E9" s="744"/>
      <c r="F9" s="1659"/>
      <c r="G9" s="1660"/>
      <c r="H9" s="1660"/>
      <c r="I9" s="1660"/>
      <c r="J9" s="1660"/>
      <c r="K9" s="1660"/>
      <c r="L9" s="1660"/>
      <c r="M9" s="1660"/>
      <c r="N9" s="1660"/>
      <c r="O9" s="1660"/>
      <c r="P9" s="1660"/>
      <c r="Q9" s="1660"/>
      <c r="R9" s="1660"/>
      <c r="S9" s="1661"/>
    </row>
    <row r="10" spans="1:19" ht="12" thickBot="1" x14ac:dyDescent="0.25">
      <c r="A10" s="1665"/>
      <c r="B10" s="1665"/>
      <c r="C10" s="1665"/>
      <c r="D10" s="744"/>
      <c r="E10" s="744"/>
      <c r="F10" s="1659"/>
      <c r="G10" s="1660"/>
      <c r="H10" s="1660"/>
      <c r="I10" s="1660"/>
      <c r="J10" s="1660"/>
      <c r="K10" s="1660"/>
      <c r="L10" s="1660"/>
      <c r="M10" s="1660"/>
      <c r="N10" s="1660"/>
      <c r="O10" s="1660"/>
      <c r="P10" s="1660"/>
      <c r="Q10" s="1660"/>
      <c r="R10" s="1660"/>
      <c r="S10" s="1661"/>
    </row>
    <row r="11" spans="1:19" ht="12" thickBot="1" x14ac:dyDescent="0.25">
      <c r="A11" s="745" t="s">
        <v>932</v>
      </c>
      <c r="B11" s="746" t="s">
        <v>928</v>
      </c>
      <c r="C11" s="747" t="s">
        <v>929</v>
      </c>
      <c r="D11" s="743"/>
      <c r="E11" s="748"/>
      <c r="F11" s="1659"/>
      <c r="G11" s="1660"/>
      <c r="H11" s="1660"/>
      <c r="I11" s="1660"/>
      <c r="J11" s="1660"/>
      <c r="K11" s="1660"/>
      <c r="L11" s="1660"/>
      <c r="M11" s="1660"/>
      <c r="N11" s="1660"/>
      <c r="O11" s="1660"/>
      <c r="P11" s="1660"/>
      <c r="Q11" s="1660"/>
      <c r="R11" s="1660"/>
      <c r="S11" s="1661"/>
    </row>
    <row r="12" spans="1:19" x14ac:dyDescent="0.2">
      <c r="A12" s="820" t="s">
        <v>933</v>
      </c>
      <c r="B12" s="823"/>
      <c r="C12" s="821" t="str">
        <f>IFERROR(B12/B15,"-")</f>
        <v>-</v>
      </c>
      <c r="D12" s="750"/>
      <c r="E12" s="751"/>
      <c r="F12" s="1659"/>
      <c r="G12" s="1660"/>
      <c r="H12" s="1660"/>
      <c r="I12" s="1660"/>
      <c r="J12" s="1660"/>
      <c r="K12" s="1660"/>
      <c r="L12" s="1660"/>
      <c r="M12" s="1660"/>
      <c r="N12" s="1660"/>
      <c r="O12" s="1660"/>
      <c r="P12" s="1660"/>
      <c r="Q12" s="1660"/>
      <c r="R12" s="1660"/>
      <c r="S12" s="1661"/>
    </row>
    <row r="13" spans="1:19" x14ac:dyDescent="0.2">
      <c r="A13" s="822" t="s">
        <v>934</v>
      </c>
      <c r="B13" s="823"/>
      <c r="C13" s="824" t="str">
        <f>IFERROR(B13/B15,"-")</f>
        <v>-</v>
      </c>
      <c r="D13" s="750"/>
      <c r="E13" s="751"/>
      <c r="F13" s="1659"/>
      <c r="G13" s="1660"/>
      <c r="H13" s="1660"/>
      <c r="I13" s="1660"/>
      <c r="J13" s="1660"/>
      <c r="K13" s="1660"/>
      <c r="L13" s="1660"/>
      <c r="M13" s="1660"/>
      <c r="N13" s="1660"/>
      <c r="O13" s="1660"/>
      <c r="P13" s="1660"/>
      <c r="Q13" s="1660"/>
      <c r="R13" s="1660"/>
      <c r="S13" s="1661"/>
    </row>
    <row r="14" spans="1:19" x14ac:dyDescent="0.2">
      <c r="A14" s="825" t="s">
        <v>995</v>
      </c>
      <c r="B14" s="823"/>
      <c r="C14" s="821" t="str">
        <f>IFERROR(B14/B15,"-")</f>
        <v>-</v>
      </c>
      <c r="D14" s="750"/>
      <c r="E14" s="751"/>
      <c r="F14" s="1659"/>
      <c r="G14" s="1660"/>
      <c r="H14" s="1660"/>
      <c r="I14" s="1660"/>
      <c r="J14" s="1660"/>
      <c r="K14" s="1660"/>
      <c r="L14" s="1660"/>
      <c r="M14" s="1660"/>
      <c r="N14" s="1660"/>
      <c r="O14" s="1660"/>
      <c r="P14" s="1660"/>
      <c r="Q14" s="1660"/>
      <c r="R14" s="1660"/>
      <c r="S14" s="1661"/>
    </row>
    <row r="15" spans="1:19" ht="12" thickBot="1" x14ac:dyDescent="0.25">
      <c r="A15" s="752" t="s">
        <v>931</v>
      </c>
      <c r="B15" s="823">
        <f>SUM(B13:B14)</f>
        <v>0</v>
      </c>
      <c r="C15" s="754">
        <v>1</v>
      </c>
      <c r="D15" s="750"/>
      <c r="E15" s="755"/>
      <c r="F15" s="1662"/>
      <c r="G15" s="1663"/>
      <c r="H15" s="1663"/>
      <c r="I15" s="1663"/>
      <c r="J15" s="1663"/>
      <c r="K15" s="1663"/>
      <c r="L15" s="1663"/>
      <c r="M15" s="1663"/>
      <c r="N15" s="1663"/>
      <c r="O15" s="1663"/>
      <c r="P15" s="1663"/>
      <c r="Q15" s="1663"/>
      <c r="R15" s="1663"/>
      <c r="S15" s="1664"/>
    </row>
    <row r="16" spans="1:19" x14ac:dyDescent="0.2">
      <c r="A16" s="744"/>
      <c r="B16" s="757"/>
      <c r="C16" s="757"/>
      <c r="D16" s="744"/>
      <c r="E16" s="744"/>
      <c r="F16" s="744"/>
      <c r="G16" s="744"/>
      <c r="H16" s="744"/>
      <c r="I16" s="744"/>
      <c r="J16" s="744"/>
      <c r="K16" s="744"/>
      <c r="L16" s="744"/>
      <c r="M16" s="744"/>
      <c r="N16" s="744"/>
      <c r="O16" s="744"/>
      <c r="P16" s="744"/>
      <c r="Q16" s="744"/>
      <c r="R16" s="744"/>
      <c r="S16" s="744"/>
    </row>
    <row r="17" spans="1:19" ht="12" thickBot="1" x14ac:dyDescent="0.25">
      <c r="A17" s="744"/>
      <c r="B17" s="744"/>
      <c r="C17" s="744"/>
      <c r="D17" s="744"/>
      <c r="E17" s="744"/>
      <c r="F17" s="744"/>
      <c r="G17" s="744"/>
      <c r="H17" s="744"/>
      <c r="I17" s="744"/>
      <c r="J17" s="744"/>
      <c r="K17" s="744"/>
      <c r="L17" s="744"/>
      <c r="M17" s="744"/>
      <c r="N17" s="744"/>
      <c r="O17" s="744"/>
      <c r="P17" s="744"/>
      <c r="Q17" s="744"/>
      <c r="R17" s="744"/>
      <c r="S17" s="744"/>
    </row>
    <row r="18" spans="1:19" ht="12" thickBot="1" x14ac:dyDescent="0.25">
      <c r="A18" s="758" t="s">
        <v>935</v>
      </c>
      <c r="B18" s="759"/>
      <c r="C18" s="759"/>
      <c r="D18" s="1666">
        <f>B3</f>
        <v>44561</v>
      </c>
      <c r="E18" s="1667"/>
      <c r="F18" s="744"/>
      <c r="G18" s="1668" t="s">
        <v>936</v>
      </c>
      <c r="H18" s="1669"/>
      <c r="I18" s="1670"/>
      <c r="J18" s="760">
        <f>B3</f>
        <v>44561</v>
      </c>
      <c r="K18" s="744"/>
      <c r="L18" s="744"/>
      <c r="M18" s="744"/>
      <c r="N18" s="744"/>
      <c r="O18" s="744"/>
      <c r="P18" s="744"/>
      <c r="Q18" s="744"/>
      <c r="R18" s="744"/>
      <c r="S18" s="744"/>
    </row>
    <row r="19" spans="1:19" ht="34.5" thickBot="1" x14ac:dyDescent="0.25">
      <c r="A19" s="761" t="s">
        <v>937</v>
      </c>
      <c r="B19" s="762" t="s">
        <v>938</v>
      </c>
      <c r="C19" s="762" t="s">
        <v>939</v>
      </c>
      <c r="D19" s="763" t="s">
        <v>940</v>
      </c>
      <c r="E19" s="764" t="s">
        <v>941</v>
      </c>
      <c r="F19" s="744"/>
      <c r="G19" s="1651"/>
      <c r="H19" s="1652"/>
      <c r="I19" s="765" t="s">
        <v>939</v>
      </c>
      <c r="J19" s="765" t="s">
        <v>942</v>
      </c>
      <c r="K19" s="744"/>
      <c r="L19" s="744"/>
      <c r="M19" s="744"/>
      <c r="N19" s="744"/>
      <c r="O19" s="744"/>
      <c r="P19" s="744"/>
      <c r="Q19" s="744"/>
      <c r="R19" s="744"/>
      <c r="S19" s="744"/>
    </row>
    <row r="20" spans="1:19" x14ac:dyDescent="0.2">
      <c r="A20" s="766" t="s">
        <v>1190</v>
      </c>
      <c r="B20" s="826"/>
      <c r="C20" s="823">
        <v>231467</v>
      </c>
      <c r="D20" s="767"/>
      <c r="E20" s="827" t="e">
        <f>C20/$B$8</f>
        <v>#DIV/0!</v>
      </c>
      <c r="F20" s="744"/>
      <c r="G20" s="1683" t="s">
        <v>943</v>
      </c>
      <c r="H20" s="1684"/>
      <c r="I20" s="784"/>
      <c r="J20" s="768" t="str">
        <f>IFERROR(I20/$I$26,"n/a")</f>
        <v>n/a</v>
      </c>
      <c r="K20" s="1685" t="s">
        <v>944</v>
      </c>
      <c r="L20" s="1686"/>
      <c r="M20" s="1686"/>
      <c r="N20" s="1686"/>
      <c r="O20" s="1686"/>
      <c r="P20" s="1686"/>
      <c r="Q20" s="1687"/>
      <c r="R20" s="744"/>
      <c r="S20" s="744"/>
    </row>
    <row r="21" spans="1:19" x14ac:dyDescent="0.2">
      <c r="A21" s="766"/>
      <c r="B21" s="826"/>
      <c r="C21" s="823"/>
      <c r="D21" s="767"/>
      <c r="E21" s="827"/>
      <c r="F21" s="744"/>
      <c r="G21" s="1680" t="s">
        <v>945</v>
      </c>
      <c r="H21" s="1681"/>
      <c r="I21" s="1682"/>
      <c r="J21" s="1682"/>
      <c r="K21" s="1688"/>
      <c r="L21" s="1689"/>
      <c r="M21" s="1689"/>
      <c r="N21" s="1689"/>
      <c r="O21" s="1689"/>
      <c r="P21" s="1689"/>
      <c r="Q21" s="1690"/>
      <c r="R21" s="744"/>
      <c r="S21" s="744"/>
    </row>
    <row r="22" spans="1:19" ht="12" thickBot="1" x14ac:dyDescent="0.25">
      <c r="A22" s="766"/>
      <c r="B22" s="826"/>
      <c r="C22" s="823"/>
      <c r="D22" s="767"/>
      <c r="E22" s="827"/>
      <c r="F22" s="744"/>
      <c r="G22" s="1680" t="s">
        <v>946</v>
      </c>
      <c r="H22" s="1681"/>
      <c r="I22" s="786"/>
      <c r="J22" s="770" t="str">
        <f>IFERROR(I22/$I$26,"n/a")</f>
        <v>n/a</v>
      </c>
      <c r="K22" s="1691"/>
      <c r="L22" s="1692"/>
      <c r="M22" s="1692"/>
      <c r="N22" s="1692"/>
      <c r="O22" s="1692"/>
      <c r="P22" s="1692"/>
      <c r="Q22" s="1693"/>
      <c r="R22" s="744"/>
      <c r="S22" s="744"/>
    </row>
    <row r="23" spans="1:19" x14ac:dyDescent="0.2">
      <c r="A23" s="766"/>
      <c r="B23" s="785"/>
      <c r="C23" s="823"/>
      <c r="D23" s="767"/>
      <c r="E23" s="827"/>
      <c r="F23" s="744"/>
      <c r="G23" s="1680" t="s">
        <v>947</v>
      </c>
      <c r="H23" s="1681"/>
      <c r="I23" s="786"/>
      <c r="J23" s="770" t="str">
        <f t="shared" ref="J23:J25" si="0">IFERROR(I23/$I$26,"n/a")</f>
        <v>n/a</v>
      </c>
      <c r="K23" s="1694"/>
      <c r="L23" s="1657"/>
      <c r="M23" s="1657"/>
      <c r="N23" s="1657"/>
      <c r="O23" s="1657"/>
      <c r="P23" s="1657"/>
      <c r="Q23" s="1695"/>
      <c r="R23" s="744"/>
      <c r="S23" s="744"/>
    </row>
    <row r="24" spans="1:19" ht="12" thickBot="1" x14ac:dyDescent="0.25">
      <c r="A24" s="771"/>
      <c r="B24" s="828"/>
      <c r="C24" s="1084"/>
      <c r="D24" s="772"/>
      <c r="E24" s="1082"/>
      <c r="F24" s="744"/>
      <c r="G24" s="1680" t="s">
        <v>948</v>
      </c>
      <c r="H24" s="1681"/>
      <c r="I24" s="786"/>
      <c r="J24" s="770" t="str">
        <f t="shared" si="0"/>
        <v>n/a</v>
      </c>
      <c r="K24" s="1696"/>
      <c r="L24" s="1660"/>
      <c r="M24" s="1660"/>
      <c r="N24" s="1660"/>
      <c r="O24" s="1660"/>
      <c r="P24" s="1660"/>
      <c r="Q24" s="1697"/>
      <c r="R24" s="744"/>
      <c r="S24" s="744"/>
    </row>
    <row r="25" spans="1:19" x14ac:dyDescent="0.2">
      <c r="A25" s="744"/>
      <c r="B25" s="744"/>
      <c r="C25" s="744"/>
      <c r="D25" s="773"/>
      <c r="E25" s="744"/>
      <c r="F25" s="744"/>
      <c r="G25" s="1680" t="s">
        <v>949</v>
      </c>
      <c r="H25" s="1681"/>
      <c r="I25" s="786"/>
      <c r="J25" s="770" t="str">
        <f t="shared" si="0"/>
        <v>n/a</v>
      </c>
      <c r="K25" s="1696"/>
      <c r="L25" s="1660"/>
      <c r="M25" s="1660"/>
      <c r="N25" s="1660"/>
      <c r="O25" s="1660"/>
      <c r="P25" s="1660"/>
      <c r="Q25" s="1697"/>
      <c r="R25" s="744"/>
      <c r="S25" s="744"/>
    </row>
    <row r="26" spans="1:19" x14ac:dyDescent="0.2">
      <c r="A26" s="744"/>
      <c r="B26" s="744"/>
      <c r="C26" s="744"/>
      <c r="D26" s="773"/>
      <c r="E26" s="744"/>
      <c r="F26" s="744"/>
      <c r="G26" s="1680" t="s">
        <v>950</v>
      </c>
      <c r="H26" s="1681"/>
      <c r="I26" s="857">
        <f>SUM(I20,I22,I23,I24,I25)</f>
        <v>0</v>
      </c>
      <c r="J26" s="770"/>
      <c r="K26" s="1696"/>
      <c r="L26" s="1660"/>
      <c r="M26" s="1660"/>
      <c r="N26" s="1660"/>
      <c r="O26" s="1660"/>
      <c r="P26" s="1660"/>
      <c r="Q26" s="1697"/>
      <c r="R26" s="744"/>
      <c r="S26" s="744"/>
    </row>
    <row r="27" spans="1:19" x14ac:dyDescent="0.2">
      <c r="A27" s="744"/>
      <c r="B27" s="744"/>
      <c r="C27" s="744"/>
      <c r="D27" s="773"/>
      <c r="E27" s="744"/>
      <c r="F27" s="744"/>
      <c r="G27" s="1680" t="s">
        <v>951</v>
      </c>
      <c r="H27" s="1681"/>
      <c r="I27" s="774"/>
      <c r="J27" s="769"/>
      <c r="K27" s="1696"/>
      <c r="L27" s="1660"/>
      <c r="M27" s="1660"/>
      <c r="N27" s="1660"/>
      <c r="O27" s="1660"/>
      <c r="P27" s="1660"/>
      <c r="Q27" s="1697"/>
      <c r="R27" s="744"/>
      <c r="S27" s="744"/>
    </row>
    <row r="28" spans="1:19" x14ac:dyDescent="0.2">
      <c r="A28" s="744"/>
      <c r="B28" s="744"/>
      <c r="C28" s="744"/>
      <c r="D28" s="773"/>
      <c r="E28" s="744"/>
      <c r="F28" s="744"/>
      <c r="G28" s="775" t="s">
        <v>952</v>
      </c>
      <c r="H28" s="776"/>
      <c r="I28" s="774"/>
      <c r="J28" s="769"/>
      <c r="K28" s="1696"/>
      <c r="L28" s="1660"/>
      <c r="M28" s="1660"/>
      <c r="N28" s="1660"/>
      <c r="O28" s="1660"/>
      <c r="P28" s="1660"/>
      <c r="Q28" s="1697"/>
      <c r="R28" s="744"/>
      <c r="S28" s="744"/>
    </row>
    <row r="29" spans="1:19" ht="12" thickBot="1" x14ac:dyDescent="0.25">
      <c r="A29" s="744"/>
      <c r="B29" s="744"/>
      <c r="C29" s="744"/>
      <c r="D29" s="773"/>
      <c r="E29" s="744"/>
      <c r="F29" s="744"/>
      <c r="G29" s="777" t="s">
        <v>953</v>
      </c>
      <c r="H29" s="778"/>
      <c r="I29" s="779"/>
      <c r="J29" s="780"/>
      <c r="K29" s="1698"/>
      <c r="L29" s="1699"/>
      <c r="M29" s="1699"/>
      <c r="N29" s="1699"/>
      <c r="O29" s="1699"/>
      <c r="P29" s="1699"/>
      <c r="Q29" s="1700"/>
      <c r="R29" s="744"/>
      <c r="S29" s="744"/>
    </row>
    <row r="30" spans="1:19" ht="12" thickBot="1" x14ac:dyDescent="0.25">
      <c r="A30" s="744"/>
      <c r="B30" s="744"/>
      <c r="C30" s="744"/>
      <c r="D30" s="773"/>
      <c r="E30" s="744"/>
      <c r="F30" s="744"/>
      <c r="G30" s="744"/>
      <c r="H30" s="744"/>
      <c r="I30" s="781"/>
      <c r="J30" s="744"/>
      <c r="K30" s="744"/>
      <c r="L30" s="782"/>
      <c r="M30" s="782"/>
      <c r="N30" s="782"/>
      <c r="O30" s="782"/>
      <c r="P30" s="782"/>
      <c r="Q30" s="782"/>
      <c r="R30" s="782"/>
      <c r="S30" s="744"/>
    </row>
    <row r="31" spans="1:19" ht="12" thickBot="1" x14ac:dyDescent="0.25">
      <c r="A31" s="758" t="s">
        <v>954</v>
      </c>
      <c r="B31" s="783"/>
      <c r="C31" s="783"/>
      <c r="D31" s="1666">
        <f>B3</f>
        <v>44561</v>
      </c>
      <c r="E31" s="1667"/>
      <c r="F31" s="744"/>
      <c r="G31" s="1701" t="s">
        <v>955</v>
      </c>
      <c r="H31" s="1702"/>
      <c r="I31" s="1703"/>
      <c r="J31" s="760">
        <f>B3</f>
        <v>44561</v>
      </c>
      <c r="K31" s="744"/>
      <c r="L31" s="744"/>
      <c r="M31" s="744"/>
      <c r="N31" s="744"/>
      <c r="O31" s="744"/>
      <c r="P31" s="744"/>
      <c r="Q31" s="744"/>
      <c r="R31" s="744"/>
      <c r="S31" s="744"/>
    </row>
    <row r="32" spans="1:19" ht="34.5" thickBot="1" x14ac:dyDescent="0.25">
      <c r="A32" s="761" t="s">
        <v>956</v>
      </c>
      <c r="B32" s="762" t="s">
        <v>938</v>
      </c>
      <c r="C32" s="762" t="s">
        <v>939</v>
      </c>
      <c r="D32" s="763" t="s">
        <v>940</v>
      </c>
      <c r="E32" s="764" t="s">
        <v>1053</v>
      </c>
      <c r="F32" s="744"/>
      <c r="G32" s="1651"/>
      <c r="H32" s="1652"/>
      <c r="I32" s="765" t="s">
        <v>939</v>
      </c>
      <c r="J32" s="765" t="s">
        <v>942</v>
      </c>
      <c r="K32" s="744"/>
      <c r="L32" s="744"/>
      <c r="M32" s="744"/>
      <c r="N32" s="744"/>
      <c r="O32" s="744"/>
      <c r="P32" s="744"/>
      <c r="Q32" s="744"/>
      <c r="R32" s="744"/>
      <c r="S32" s="744"/>
    </row>
    <row r="33" spans="1:19" x14ac:dyDescent="0.2">
      <c r="A33" s="785" t="s">
        <v>1192</v>
      </c>
      <c r="B33" s="766"/>
      <c r="C33" s="823"/>
      <c r="D33" s="767"/>
      <c r="E33" s="829" t="e">
        <f>C33/$B$8</f>
        <v>#DIV/0!</v>
      </c>
      <c r="F33" s="744"/>
      <c r="G33" s="1683" t="s">
        <v>943</v>
      </c>
      <c r="H33" s="1684"/>
      <c r="I33" s="784"/>
      <c r="J33" s="768" t="str">
        <f>IFERROR(I33/$I$39,"n/a")</f>
        <v>n/a</v>
      </c>
      <c r="K33" s="1671" t="s">
        <v>957</v>
      </c>
      <c r="L33" s="1672"/>
      <c r="M33" s="1672"/>
      <c r="N33" s="1672"/>
      <c r="O33" s="1672"/>
      <c r="P33" s="1672"/>
      <c r="Q33" s="1673"/>
      <c r="R33" s="744"/>
      <c r="S33" s="744"/>
    </row>
    <row r="34" spans="1:19" x14ac:dyDescent="0.2">
      <c r="A34" s="785" t="s">
        <v>1193</v>
      </c>
      <c r="B34" s="1290"/>
      <c r="C34" s="823"/>
      <c r="D34" s="767"/>
      <c r="E34" s="829" t="e">
        <f t="shared" ref="E34:E37" si="1">C34/$B$8</f>
        <v>#DIV/0!</v>
      </c>
      <c r="F34" s="744"/>
      <c r="G34" s="1680" t="s">
        <v>945</v>
      </c>
      <c r="H34" s="1681"/>
      <c r="I34" s="1682"/>
      <c r="J34" s="1682"/>
      <c r="K34" s="1674"/>
      <c r="L34" s="1675"/>
      <c r="M34" s="1675"/>
      <c r="N34" s="1675"/>
      <c r="O34" s="1675"/>
      <c r="P34" s="1675"/>
      <c r="Q34" s="1676"/>
      <c r="R34" s="744"/>
      <c r="S34" s="744"/>
    </row>
    <row r="35" spans="1:19" x14ac:dyDescent="0.2">
      <c r="A35" s="785" t="s">
        <v>1194</v>
      </c>
      <c r="B35" s="766"/>
      <c r="C35" s="823"/>
      <c r="D35" s="767"/>
      <c r="E35" s="829" t="e">
        <f t="shared" si="1"/>
        <v>#DIV/0!</v>
      </c>
      <c r="F35" s="744"/>
      <c r="G35" s="1680" t="s">
        <v>946</v>
      </c>
      <c r="H35" s="1681"/>
      <c r="I35" s="786">
        <v>0</v>
      </c>
      <c r="J35" s="770" t="str">
        <f>IFERROR(I35/$I$39,"n/a")</f>
        <v>n/a</v>
      </c>
      <c r="K35" s="1677"/>
      <c r="L35" s="1678"/>
      <c r="M35" s="1678"/>
      <c r="N35" s="1678"/>
      <c r="O35" s="1678"/>
      <c r="P35" s="1678"/>
      <c r="Q35" s="1679"/>
      <c r="R35" s="744"/>
      <c r="S35" s="744"/>
    </row>
    <row r="36" spans="1:19" x14ac:dyDescent="0.2">
      <c r="A36" s="785" t="s">
        <v>1195</v>
      </c>
      <c r="B36" s="1290"/>
      <c r="C36" s="823"/>
      <c r="D36" s="767"/>
      <c r="E36" s="829" t="e">
        <f t="shared" si="1"/>
        <v>#DIV/0!</v>
      </c>
      <c r="F36" s="744"/>
      <c r="G36" s="1680" t="s">
        <v>947</v>
      </c>
      <c r="H36" s="1681"/>
      <c r="I36" s="786">
        <v>0</v>
      </c>
      <c r="J36" s="770" t="str">
        <f t="shared" ref="J36:J38" si="2">IFERROR(I36/$I$39,"n/a")</f>
        <v>n/a</v>
      </c>
      <c r="K36" s="1704"/>
      <c r="L36" s="1705"/>
      <c r="M36" s="1705"/>
      <c r="N36" s="1705"/>
      <c r="O36" s="1705"/>
      <c r="P36" s="1705"/>
      <c r="Q36" s="1706"/>
      <c r="R36" s="744"/>
      <c r="S36" s="744"/>
    </row>
    <row r="37" spans="1:19" x14ac:dyDescent="0.2">
      <c r="A37" s="785" t="s">
        <v>1196</v>
      </c>
      <c r="B37" s="766"/>
      <c r="C37" s="823"/>
      <c r="D37" s="767"/>
      <c r="E37" s="829" t="e">
        <f t="shared" si="1"/>
        <v>#DIV/0!</v>
      </c>
      <c r="F37" s="744"/>
      <c r="G37" s="1680" t="s">
        <v>948</v>
      </c>
      <c r="H37" s="1681"/>
      <c r="I37" s="786">
        <v>0</v>
      </c>
      <c r="J37" s="770" t="str">
        <f t="shared" si="2"/>
        <v>n/a</v>
      </c>
      <c r="K37" s="1707"/>
      <c r="L37" s="1708"/>
      <c r="M37" s="1708"/>
      <c r="N37" s="1708"/>
      <c r="O37" s="1708"/>
      <c r="P37" s="1708"/>
      <c r="Q37" s="1709"/>
      <c r="R37" s="744"/>
      <c r="S37" s="744"/>
    </row>
    <row r="38" spans="1:19" x14ac:dyDescent="0.2">
      <c r="A38" s="785"/>
      <c r="B38" s="766"/>
      <c r="C38" s="823"/>
      <c r="D38" s="767"/>
      <c r="E38" s="829"/>
      <c r="F38" s="744"/>
      <c r="G38" s="1680" t="s">
        <v>949</v>
      </c>
      <c r="H38" s="1681"/>
      <c r="I38" s="786"/>
      <c r="J38" s="770" t="str">
        <f t="shared" si="2"/>
        <v>n/a</v>
      </c>
      <c r="K38" s="1707"/>
      <c r="L38" s="1708"/>
      <c r="M38" s="1708"/>
      <c r="N38" s="1708"/>
      <c r="O38" s="1708"/>
      <c r="P38" s="1708"/>
      <c r="Q38" s="1709"/>
      <c r="R38" s="744"/>
      <c r="S38" s="744"/>
    </row>
    <row r="39" spans="1:19" x14ac:dyDescent="0.2">
      <c r="A39" s="785"/>
      <c r="B39" s="766"/>
      <c r="C39" s="823"/>
      <c r="D39" s="767"/>
      <c r="E39" s="829"/>
      <c r="F39" s="744"/>
      <c r="G39" s="1680" t="s">
        <v>950</v>
      </c>
      <c r="H39" s="1681"/>
      <c r="I39" s="857">
        <f>SUM(I33,I35,I36,I37,I38)</f>
        <v>0</v>
      </c>
      <c r="J39" s="770"/>
      <c r="K39" s="1707"/>
      <c r="L39" s="1708"/>
      <c r="M39" s="1708"/>
      <c r="N39" s="1708"/>
      <c r="O39" s="1708"/>
      <c r="P39" s="1708"/>
      <c r="Q39" s="1709"/>
      <c r="R39" s="744"/>
      <c r="S39" s="744"/>
    </row>
    <row r="40" spans="1:19" x14ac:dyDescent="0.2">
      <c r="A40" s="744"/>
      <c r="B40" s="744"/>
      <c r="C40" s="744"/>
      <c r="D40" s="773"/>
      <c r="E40" s="744"/>
      <c r="F40" s="744"/>
      <c r="G40" s="1680" t="s">
        <v>951</v>
      </c>
      <c r="H40" s="1681"/>
      <c r="I40" s="774"/>
      <c r="J40" s="769"/>
      <c r="K40" s="1707"/>
      <c r="L40" s="1708"/>
      <c r="M40" s="1708"/>
      <c r="N40" s="1708"/>
      <c r="O40" s="1708"/>
      <c r="P40" s="1708"/>
      <c r="Q40" s="1709"/>
      <c r="R40" s="744"/>
      <c r="S40" s="744"/>
    </row>
    <row r="41" spans="1:19" x14ac:dyDescent="0.2">
      <c r="A41" s="743"/>
      <c r="B41" s="781"/>
      <c r="C41" s="744"/>
      <c r="D41" s="773"/>
      <c r="E41" s="744"/>
      <c r="F41" s="744"/>
      <c r="G41" s="775" t="s">
        <v>952</v>
      </c>
      <c r="H41" s="776"/>
      <c r="I41" s="774">
        <v>0</v>
      </c>
      <c r="J41" s="769"/>
      <c r="K41" s="1707"/>
      <c r="L41" s="1708"/>
      <c r="M41" s="1708"/>
      <c r="N41" s="1708"/>
      <c r="O41" s="1708"/>
      <c r="P41" s="1708"/>
      <c r="Q41" s="1709"/>
      <c r="R41" s="744"/>
      <c r="S41" s="744"/>
    </row>
    <row r="42" spans="1:19" ht="12" thickBot="1" x14ac:dyDescent="0.25">
      <c r="A42" s="744"/>
      <c r="B42" s="744"/>
      <c r="C42" s="744"/>
      <c r="D42" s="773"/>
      <c r="E42" s="744"/>
      <c r="F42" s="744"/>
      <c r="G42" s="777" t="s">
        <v>953</v>
      </c>
      <c r="H42" s="778"/>
      <c r="I42" s="779"/>
      <c r="J42" s="780"/>
      <c r="K42" s="1710"/>
      <c r="L42" s="1711"/>
      <c r="M42" s="1711"/>
      <c r="N42" s="1711"/>
      <c r="O42" s="1711"/>
      <c r="P42" s="1711"/>
      <c r="Q42" s="1712"/>
      <c r="R42" s="744"/>
      <c r="S42" s="744"/>
    </row>
    <row r="43" spans="1:19" x14ac:dyDescent="0.2">
      <c r="A43" s="744"/>
      <c r="B43" s="744"/>
      <c r="C43" s="744"/>
      <c r="D43" s="773"/>
      <c r="E43" s="744"/>
      <c r="F43" s="744"/>
      <c r="G43" s="744"/>
      <c r="H43" s="744"/>
      <c r="I43" s="744"/>
      <c r="J43" s="744"/>
      <c r="K43" s="744"/>
      <c r="L43" s="744"/>
      <c r="M43" s="744"/>
      <c r="N43" s="744"/>
      <c r="O43" s="744"/>
      <c r="P43" s="744"/>
      <c r="Q43" s="744"/>
      <c r="R43" s="744"/>
      <c r="S43" s="744"/>
    </row>
    <row r="44" spans="1:19" ht="12" thickBot="1" x14ac:dyDescent="0.25">
      <c r="A44" s="744"/>
      <c r="B44" s="744"/>
      <c r="C44" s="744"/>
      <c r="D44" s="744"/>
      <c r="E44" s="744"/>
      <c r="F44" s="744"/>
      <c r="G44" s="744"/>
      <c r="H44" s="744"/>
      <c r="I44" s="744"/>
      <c r="J44" s="744"/>
      <c r="K44" s="744"/>
      <c r="L44" s="744"/>
      <c r="M44" s="744"/>
      <c r="N44" s="744"/>
      <c r="O44" s="744"/>
      <c r="P44" s="744"/>
      <c r="Q44" s="744"/>
      <c r="R44" s="744"/>
      <c r="S44" s="744"/>
    </row>
    <row r="45" spans="1:19" ht="12" thickBot="1" x14ac:dyDescent="0.25">
      <c r="A45" s="1713" t="s">
        <v>958</v>
      </c>
      <c r="B45" s="1714"/>
      <c r="C45" s="1715"/>
      <c r="D45" s="1715"/>
      <c r="E45" s="1715"/>
      <c r="F45" s="1716"/>
      <c r="G45" s="744"/>
      <c r="H45" s="1717" t="s">
        <v>959</v>
      </c>
      <c r="I45" s="1718"/>
      <c r="J45" s="1718"/>
      <c r="K45" s="1718"/>
      <c r="L45" s="1718"/>
      <c r="M45" s="1718"/>
      <c r="N45" s="1718"/>
      <c r="O45" s="1719"/>
      <c r="P45" s="744"/>
      <c r="Q45" s="744"/>
      <c r="R45" s="744"/>
      <c r="S45" s="744"/>
    </row>
    <row r="46" spans="1:19" ht="45.75" thickBot="1" x14ac:dyDescent="0.25">
      <c r="A46" s="787" t="s">
        <v>960</v>
      </c>
      <c r="B46" s="787" t="s">
        <v>961</v>
      </c>
      <c r="C46" s="788" t="s">
        <v>978</v>
      </c>
      <c r="D46" s="789" t="s">
        <v>962</v>
      </c>
      <c r="E46" s="789" t="s">
        <v>963</v>
      </c>
      <c r="F46" s="790" t="s">
        <v>964</v>
      </c>
      <c r="G46" s="744"/>
      <c r="H46" s="1720" t="s">
        <v>965</v>
      </c>
      <c r="I46" s="1721"/>
      <c r="J46" s="1722"/>
      <c r="K46" s="1720" t="s">
        <v>966</v>
      </c>
      <c r="L46" s="1721">
        <v>0</v>
      </c>
      <c r="M46" s="1722">
        <v>0</v>
      </c>
      <c r="N46" s="1720" t="s">
        <v>967</v>
      </c>
      <c r="O46" s="1721"/>
      <c r="P46" s="744"/>
      <c r="Q46" s="744"/>
      <c r="R46" s="744"/>
      <c r="S46" s="744"/>
    </row>
    <row r="47" spans="1:19" ht="12" thickBot="1" x14ac:dyDescent="0.25">
      <c r="A47" s="791"/>
      <c r="B47" s="792"/>
      <c r="C47" s="793"/>
      <c r="D47" s="794"/>
      <c r="E47" s="794"/>
      <c r="F47" s="795"/>
      <c r="G47" s="744"/>
      <c r="H47" s="1723"/>
      <c r="I47" s="1724"/>
      <c r="J47" s="1724"/>
      <c r="K47" s="796" t="s">
        <v>968</v>
      </c>
      <c r="L47" s="1727" t="s">
        <v>969</v>
      </c>
      <c r="M47" s="1728">
        <v>0</v>
      </c>
      <c r="N47" s="1725"/>
      <c r="O47" s="1726"/>
      <c r="P47" s="744"/>
      <c r="Q47" s="744"/>
      <c r="R47" s="744"/>
      <c r="S47" s="744"/>
    </row>
    <row r="48" spans="1:19" ht="12" thickBot="1" x14ac:dyDescent="0.25">
      <c r="A48" s="766"/>
      <c r="B48" s="797"/>
      <c r="C48" s="786"/>
      <c r="D48" s="798"/>
      <c r="E48" s="794"/>
      <c r="F48" s="799"/>
      <c r="G48" s="744"/>
      <c r="H48" s="1729"/>
      <c r="I48" s="1730"/>
      <c r="J48" s="1731"/>
      <c r="K48" s="795"/>
      <c r="L48" s="1732"/>
      <c r="M48" s="1733"/>
      <c r="N48" s="1734"/>
      <c r="O48" s="1735"/>
      <c r="P48" s="744"/>
      <c r="Q48" s="744"/>
      <c r="R48" s="744"/>
      <c r="S48" s="744"/>
    </row>
    <row r="49" spans="1:19" ht="12" thickBot="1" x14ac:dyDescent="0.25">
      <c r="A49" s="766"/>
      <c r="B49" s="797"/>
      <c r="C49" s="786"/>
      <c r="D49" s="798"/>
      <c r="E49" s="794"/>
      <c r="F49" s="799"/>
      <c r="G49" s="744"/>
      <c r="H49" s="1729"/>
      <c r="I49" s="1730"/>
      <c r="J49" s="1731"/>
      <c r="K49" s="795"/>
      <c r="L49" s="1736"/>
      <c r="M49" s="1737"/>
      <c r="N49" s="1736"/>
      <c r="O49" s="1737"/>
      <c r="P49" s="744"/>
      <c r="Q49" s="744"/>
      <c r="R49" s="744"/>
      <c r="S49" s="744"/>
    </row>
    <row r="50" spans="1:19" x14ac:dyDescent="0.2">
      <c r="A50" s="766"/>
      <c r="B50" s="797"/>
      <c r="C50" s="786"/>
      <c r="D50" s="798"/>
      <c r="E50" s="794"/>
      <c r="F50" s="799"/>
      <c r="G50" s="744"/>
      <c r="H50" s="1729"/>
      <c r="I50" s="1730"/>
      <c r="J50" s="1731"/>
      <c r="K50" s="830"/>
      <c r="L50" s="1736"/>
      <c r="M50" s="1737"/>
      <c r="N50" s="1736"/>
      <c r="O50" s="1737"/>
      <c r="P50" s="744"/>
      <c r="Q50" s="744"/>
      <c r="R50" s="744"/>
      <c r="S50" s="744"/>
    </row>
    <row r="51" spans="1:19" ht="12" thickBot="1" x14ac:dyDescent="0.25">
      <c r="A51" s="766"/>
      <c r="B51" s="797"/>
      <c r="C51" s="786"/>
      <c r="D51" s="785"/>
      <c r="E51" s="785"/>
      <c r="F51" s="799"/>
      <c r="G51" s="744"/>
      <c r="H51" s="831"/>
      <c r="I51" s="831"/>
      <c r="J51" s="831"/>
      <c r="K51" s="831"/>
      <c r="L51" s="831"/>
      <c r="M51" s="831"/>
      <c r="N51" s="831"/>
      <c r="O51" s="831"/>
      <c r="P51" s="744"/>
      <c r="Q51" s="744"/>
      <c r="R51" s="744"/>
      <c r="S51" s="744"/>
    </row>
    <row r="52" spans="1:19" ht="12" thickBot="1" x14ac:dyDescent="0.25">
      <c r="A52" s="781"/>
      <c r="B52" s="781"/>
      <c r="C52" s="800"/>
      <c r="D52" s="781"/>
      <c r="E52" s="781"/>
      <c r="F52" s="800"/>
      <c r="G52" s="744"/>
      <c r="H52" s="1738" t="s">
        <v>973</v>
      </c>
      <c r="I52" s="1739"/>
      <c r="J52" s="804"/>
      <c r="K52" s="832"/>
      <c r="L52" s="832"/>
      <c r="M52" s="832"/>
      <c r="N52" s="832"/>
      <c r="O52" s="832"/>
      <c r="P52" s="744"/>
      <c r="Q52" s="744"/>
      <c r="R52" s="744"/>
      <c r="S52" s="744"/>
    </row>
    <row r="53" spans="1:19" x14ac:dyDescent="0.2">
      <c r="A53" s="781"/>
      <c r="B53" s="781"/>
      <c r="C53" s="800"/>
      <c r="D53" s="781"/>
      <c r="E53" s="781"/>
      <c r="F53" s="800"/>
      <c r="G53" s="744"/>
      <c r="H53" s="744"/>
      <c r="I53" s="744"/>
      <c r="J53" s="744"/>
      <c r="K53" s="744"/>
      <c r="L53" s="744"/>
      <c r="M53" s="744"/>
      <c r="N53" s="744"/>
      <c r="O53" s="744"/>
      <c r="P53" s="744"/>
      <c r="Q53" s="744"/>
      <c r="R53" s="744"/>
      <c r="S53" s="744"/>
    </row>
    <row r="54" spans="1:19" x14ac:dyDescent="0.2">
      <c r="A54" s="801"/>
      <c r="B54" s="801"/>
      <c r="C54" s="833"/>
      <c r="D54" s="833"/>
      <c r="E54" s="833"/>
      <c r="F54" s="833"/>
      <c r="G54" s="744"/>
      <c r="H54" s="744"/>
      <c r="I54" s="744"/>
      <c r="J54" s="744"/>
      <c r="K54" s="744"/>
      <c r="L54" s="744"/>
      <c r="M54" s="744"/>
      <c r="N54" s="744"/>
      <c r="O54" s="744"/>
      <c r="P54" s="744"/>
      <c r="Q54" s="744"/>
      <c r="R54" s="744"/>
      <c r="S54" s="744"/>
    </row>
    <row r="55" spans="1:19" x14ac:dyDescent="0.2">
      <c r="A55" s="802"/>
      <c r="B55" s="802">
        <f>SUM(B47:B54)</f>
        <v>0</v>
      </c>
      <c r="C55" s="803">
        <f>SUM(C47:C54)</f>
        <v>0</v>
      </c>
      <c r="D55" s="802">
        <f>SUM(D47:D54)</f>
        <v>0</v>
      </c>
      <c r="E55" s="802"/>
      <c r="F55" s="803">
        <f>SUM(F47:F54)</f>
        <v>0</v>
      </c>
      <c r="G55" s="744"/>
      <c r="H55" s="744"/>
      <c r="I55" s="744"/>
      <c r="J55" s="744"/>
      <c r="K55" s="744"/>
      <c r="L55" s="744"/>
      <c r="M55" s="744"/>
      <c r="N55" s="744"/>
      <c r="O55" s="744"/>
      <c r="P55" s="744"/>
      <c r="Q55" s="744"/>
      <c r="R55" s="744"/>
      <c r="S55" s="744"/>
    </row>
    <row r="56" spans="1:19" ht="12" thickBot="1" x14ac:dyDescent="0.25">
      <c r="A56" s="744"/>
      <c r="B56" s="802"/>
      <c r="C56" s="744"/>
      <c r="D56" s="802"/>
      <c r="E56" s="744"/>
      <c r="F56" s="744"/>
      <c r="G56" s="744"/>
      <c r="H56" s="744"/>
      <c r="I56" s="744"/>
      <c r="J56" s="744"/>
      <c r="K56" s="744"/>
      <c r="L56" s="744"/>
      <c r="M56" s="744"/>
      <c r="N56" s="744"/>
      <c r="O56" s="744"/>
      <c r="P56" s="744"/>
      <c r="Q56" s="744"/>
      <c r="R56" s="744"/>
      <c r="S56" s="744"/>
    </row>
    <row r="57" spans="1:19" ht="12" thickBot="1" x14ac:dyDescent="0.25">
      <c r="A57" s="1713" t="s">
        <v>974</v>
      </c>
      <c r="B57" s="1714"/>
      <c r="C57" s="1715"/>
      <c r="D57" s="1715"/>
      <c r="E57" s="1715"/>
      <c r="F57" s="1716"/>
      <c r="G57" s="744"/>
      <c r="H57" s="1740" t="s">
        <v>975</v>
      </c>
      <c r="I57" s="1741"/>
      <c r="J57" s="1741"/>
      <c r="K57" s="1741"/>
      <c r="L57" s="1741"/>
      <c r="M57" s="1741"/>
      <c r="N57" s="1741"/>
      <c r="O57" s="1741"/>
      <c r="P57" s="1742"/>
      <c r="Q57" s="744"/>
      <c r="R57" s="744"/>
      <c r="S57" s="744"/>
    </row>
    <row r="58" spans="1:19" ht="34.5" thickBot="1" x14ac:dyDescent="0.25">
      <c r="A58" s="787" t="s">
        <v>976</v>
      </c>
      <c r="B58" s="787" t="s">
        <v>977</v>
      </c>
      <c r="C58" s="788" t="s">
        <v>978</v>
      </c>
      <c r="D58" s="789" t="s">
        <v>979</v>
      </c>
      <c r="E58" s="789" t="s">
        <v>980</v>
      </c>
      <c r="F58" s="790" t="s">
        <v>964</v>
      </c>
      <c r="G58" s="744"/>
      <c r="H58" s="1743" t="s">
        <v>981</v>
      </c>
      <c r="I58" s="1744"/>
      <c r="J58" s="1745"/>
      <c r="K58" s="788" t="s">
        <v>982</v>
      </c>
      <c r="L58" s="789" t="s">
        <v>983</v>
      </c>
      <c r="M58" s="1746" t="s">
        <v>984</v>
      </c>
      <c r="N58" s="1747"/>
      <c r="O58" s="789" t="s">
        <v>985</v>
      </c>
      <c r="P58" s="789" t="s">
        <v>986</v>
      </c>
      <c r="Q58" s="744"/>
      <c r="R58" s="744"/>
      <c r="S58" s="744"/>
    </row>
    <row r="59" spans="1:19" x14ac:dyDescent="0.2">
      <c r="A59" s="791"/>
      <c r="B59" s="792"/>
      <c r="C59" s="793"/>
      <c r="D59" s="794"/>
      <c r="E59" s="794"/>
      <c r="F59" s="795"/>
      <c r="G59" s="744"/>
      <c r="H59" s="1748"/>
      <c r="I59" s="1749"/>
      <c r="J59" s="1750"/>
      <c r="K59" s="786"/>
      <c r="L59" s="794"/>
      <c r="M59" s="1751"/>
      <c r="N59" s="1752"/>
      <c r="O59" s="805"/>
      <c r="P59" s="805"/>
      <c r="Q59" s="744"/>
      <c r="R59" s="744"/>
      <c r="S59" s="744"/>
    </row>
    <row r="60" spans="1:19" x14ac:dyDescent="0.2">
      <c r="A60" s="766"/>
      <c r="B60" s="797"/>
      <c r="C60" s="786"/>
      <c r="D60" s="798"/>
      <c r="E60" s="798"/>
      <c r="F60" s="799"/>
      <c r="G60" s="744"/>
      <c r="H60" s="1753"/>
      <c r="I60" s="1754"/>
      <c r="J60" s="1755"/>
      <c r="K60" s="786"/>
      <c r="L60" s="798"/>
      <c r="M60" s="1756"/>
      <c r="N60" s="1757"/>
      <c r="O60" s="805"/>
      <c r="P60" s="805"/>
      <c r="Q60" s="744"/>
      <c r="R60" s="744"/>
      <c r="S60" s="744"/>
    </row>
    <row r="61" spans="1:19" x14ac:dyDescent="0.2">
      <c r="A61" s="766"/>
      <c r="B61" s="797"/>
      <c r="C61" s="786"/>
      <c r="D61" s="798"/>
      <c r="E61" s="798"/>
      <c r="F61" s="799"/>
      <c r="G61" s="744"/>
      <c r="H61" s="1753"/>
      <c r="I61" s="1754"/>
      <c r="J61" s="1755"/>
      <c r="K61" s="786"/>
      <c r="L61" s="785"/>
      <c r="M61" s="1756"/>
      <c r="N61" s="1757"/>
      <c r="O61" s="785"/>
      <c r="P61" s="785"/>
      <c r="Q61" s="744"/>
      <c r="R61" s="744"/>
      <c r="S61" s="744"/>
    </row>
    <row r="62" spans="1:19" x14ac:dyDescent="0.2">
      <c r="A62" s="766"/>
      <c r="B62" s="797"/>
      <c r="C62" s="786"/>
      <c r="D62" s="785"/>
      <c r="E62" s="785"/>
      <c r="F62" s="799"/>
      <c r="G62" s="744"/>
      <c r="H62" s="1753"/>
      <c r="I62" s="1754"/>
      <c r="J62" s="1755"/>
      <c r="K62" s="785"/>
      <c r="L62" s="785"/>
      <c r="M62" s="1756"/>
      <c r="N62" s="1757"/>
      <c r="O62" s="785"/>
      <c r="P62" s="785"/>
      <c r="Q62" s="744"/>
      <c r="R62" s="744"/>
      <c r="S62" s="744"/>
    </row>
    <row r="63" spans="1:19" ht="12" thickBot="1" x14ac:dyDescent="0.25">
      <c r="A63" s="806"/>
      <c r="B63" s="807"/>
      <c r="C63" s="808"/>
      <c r="D63" s="809"/>
      <c r="E63" s="809"/>
      <c r="F63" s="810"/>
      <c r="G63" s="744"/>
      <c r="H63" s="1759"/>
      <c r="I63" s="1760"/>
      <c r="J63" s="1761"/>
      <c r="K63" s="809"/>
      <c r="L63" s="809"/>
      <c r="M63" s="1762"/>
      <c r="N63" s="1763"/>
      <c r="O63" s="809"/>
      <c r="P63" s="809"/>
      <c r="Q63" s="744"/>
      <c r="R63" s="744"/>
      <c r="S63" s="744"/>
    </row>
    <row r="64" spans="1:19" ht="12" thickBot="1" x14ac:dyDescent="0.25">
      <c r="A64" s="811" t="s">
        <v>950</v>
      </c>
      <c r="B64" s="812"/>
      <c r="C64" s="813">
        <f>SUM(C59:C63)</f>
        <v>0</v>
      </c>
      <c r="D64" s="814"/>
      <c r="E64" s="814"/>
      <c r="F64" s="815"/>
      <c r="G64" s="744"/>
      <c r="H64" s="1764" t="s">
        <v>950</v>
      </c>
      <c r="I64" s="1765"/>
      <c r="J64" s="1766"/>
      <c r="K64" s="813">
        <f>SUM(K59:K63)</f>
        <v>0</v>
      </c>
      <c r="L64" s="814"/>
      <c r="M64" s="1767"/>
      <c r="N64" s="1768"/>
      <c r="O64" s="814"/>
      <c r="P64" s="816"/>
      <c r="Q64" s="744"/>
      <c r="R64" s="744"/>
      <c r="S64" s="744"/>
    </row>
    <row r="65" spans="1:19" ht="34.5" thickBot="1" x14ac:dyDescent="0.25">
      <c r="A65" s="787" t="s">
        <v>987</v>
      </c>
      <c r="B65" s="787" t="s">
        <v>977</v>
      </c>
      <c r="C65" s="788" t="s">
        <v>978</v>
      </c>
      <c r="D65" s="789" t="s">
        <v>979</v>
      </c>
      <c r="E65" s="789" t="s">
        <v>980</v>
      </c>
      <c r="F65" s="790" t="s">
        <v>964</v>
      </c>
      <c r="G65" s="744"/>
      <c r="H65" s="1740" t="s">
        <v>988</v>
      </c>
      <c r="I65" s="1741"/>
      <c r="J65" s="1741"/>
      <c r="K65" s="1741"/>
      <c r="L65" s="1741"/>
      <c r="M65" s="1741"/>
      <c r="N65" s="1741"/>
      <c r="O65" s="1741"/>
      <c r="P65" s="1742"/>
      <c r="Q65" s="744"/>
      <c r="R65" s="744"/>
      <c r="S65" s="744"/>
    </row>
    <row r="66" spans="1:19" ht="34.5" thickBot="1" x14ac:dyDescent="0.25">
      <c r="A66" s="766"/>
      <c r="B66" s="797"/>
      <c r="C66" s="786"/>
      <c r="D66" s="785"/>
      <c r="E66" s="785"/>
      <c r="F66" s="799"/>
      <c r="G66" s="744"/>
      <c r="H66" s="1743" t="s">
        <v>981</v>
      </c>
      <c r="I66" s="1744"/>
      <c r="J66" s="1745"/>
      <c r="K66" s="788" t="s">
        <v>982</v>
      </c>
      <c r="L66" s="789" t="s">
        <v>983</v>
      </c>
      <c r="M66" s="1746" t="s">
        <v>984</v>
      </c>
      <c r="N66" s="1747"/>
      <c r="O66" s="789" t="s">
        <v>985</v>
      </c>
      <c r="P66" s="789" t="s">
        <v>986</v>
      </c>
      <c r="Q66" s="744"/>
      <c r="R66" s="744"/>
      <c r="S66" s="744"/>
    </row>
    <row r="67" spans="1:19" x14ac:dyDescent="0.2">
      <c r="A67" s="766"/>
      <c r="B67" s="797"/>
      <c r="C67" s="786"/>
      <c r="D67" s="785"/>
      <c r="E67" s="785"/>
      <c r="F67" s="799"/>
      <c r="G67" s="744"/>
      <c r="H67" s="1758"/>
      <c r="I67" s="1749"/>
      <c r="J67" s="1750"/>
      <c r="K67" s="805"/>
      <c r="L67" s="817"/>
      <c r="M67" s="1751"/>
      <c r="N67" s="1752"/>
      <c r="O67" s="805"/>
      <c r="P67" s="805"/>
      <c r="Q67" s="744"/>
      <c r="R67" s="744"/>
      <c r="S67" s="744"/>
    </row>
    <row r="68" spans="1:19" ht="12" thickBot="1" x14ac:dyDescent="0.25">
      <c r="A68" s="806"/>
      <c r="B68" s="797"/>
      <c r="C68" s="808"/>
      <c r="D68" s="809"/>
      <c r="E68" s="809"/>
      <c r="F68" s="810"/>
      <c r="G68" s="744"/>
      <c r="H68" s="1769"/>
      <c r="I68" s="1754"/>
      <c r="J68" s="1755"/>
      <c r="K68" s="785"/>
      <c r="L68" s="785"/>
      <c r="M68" s="1756"/>
      <c r="N68" s="1757"/>
      <c r="O68" s="785"/>
      <c r="P68" s="785"/>
      <c r="Q68" s="744"/>
      <c r="R68" s="744"/>
      <c r="S68" s="744"/>
    </row>
    <row r="69" spans="1:19" ht="12" thickBot="1" x14ac:dyDescent="0.25">
      <c r="A69" s="858" t="s">
        <v>950</v>
      </c>
      <c r="B69" s="859"/>
      <c r="C69" s="860">
        <f>SUM(C66:C68)</f>
        <v>0</v>
      </c>
      <c r="D69" s="814"/>
      <c r="E69" s="814"/>
      <c r="F69" s="815"/>
      <c r="G69" s="744"/>
      <c r="H69" s="1769"/>
      <c r="I69" s="1754"/>
      <c r="J69" s="1755"/>
      <c r="K69" s="785"/>
      <c r="L69" s="785"/>
      <c r="M69" s="1756"/>
      <c r="N69" s="1757"/>
      <c r="O69" s="785"/>
      <c r="P69" s="785"/>
      <c r="Q69" s="744"/>
      <c r="R69" s="744"/>
      <c r="S69" s="744"/>
    </row>
    <row r="70" spans="1:19" x14ac:dyDescent="0.2">
      <c r="A70" s="744"/>
      <c r="B70" s="802"/>
      <c r="C70" s="744"/>
      <c r="D70" s="802"/>
      <c r="E70" s="744"/>
      <c r="F70" s="744"/>
      <c r="G70" s="744"/>
      <c r="H70" s="1769"/>
      <c r="I70" s="1754"/>
      <c r="J70" s="1755"/>
      <c r="K70" s="785"/>
      <c r="L70" s="785"/>
      <c r="M70" s="1756"/>
      <c r="N70" s="1757"/>
      <c r="O70" s="785"/>
      <c r="P70" s="785"/>
      <c r="Q70" s="744"/>
      <c r="R70" s="744"/>
      <c r="S70" s="744"/>
    </row>
    <row r="71" spans="1:19" ht="12" thickBot="1" x14ac:dyDescent="0.25">
      <c r="A71" s="744"/>
      <c r="B71" s="802"/>
      <c r="C71" s="744"/>
      <c r="D71" s="802"/>
      <c r="E71" s="744"/>
      <c r="F71" s="744"/>
      <c r="G71" s="744"/>
      <c r="H71" s="1769"/>
      <c r="I71" s="1754"/>
      <c r="J71" s="1755"/>
      <c r="K71" s="785"/>
      <c r="L71" s="785"/>
      <c r="M71" s="1756"/>
      <c r="N71" s="1757"/>
      <c r="O71" s="785"/>
      <c r="P71" s="785"/>
      <c r="Q71" s="744"/>
      <c r="R71" s="744"/>
      <c r="S71" s="744"/>
    </row>
    <row r="72" spans="1:19" ht="12" thickBot="1" x14ac:dyDescent="0.25">
      <c r="A72" s="1713" t="s">
        <v>989</v>
      </c>
      <c r="B72" s="1770"/>
      <c r="C72" s="1771"/>
      <c r="D72" s="802"/>
      <c r="E72" s="744"/>
      <c r="F72" s="744"/>
      <c r="G72" s="744"/>
      <c r="H72" s="744"/>
      <c r="I72" s="744"/>
      <c r="J72" s="744"/>
      <c r="K72" s="800"/>
      <c r="L72" s="781"/>
      <c r="M72" s="1772"/>
      <c r="N72" s="1772"/>
      <c r="O72" s="1773"/>
      <c r="P72" s="1773"/>
      <c r="Q72" s="1773"/>
      <c r="R72" s="744"/>
      <c r="S72" s="744"/>
    </row>
    <row r="73" spans="1:19" ht="57" thickBot="1" x14ac:dyDescent="0.25">
      <c r="A73" s="787" t="s">
        <v>990</v>
      </c>
      <c r="B73" s="818" t="s">
        <v>991</v>
      </c>
      <c r="C73" s="788" t="s">
        <v>992</v>
      </c>
      <c r="D73" s="802"/>
      <c r="E73" s="744"/>
      <c r="F73" s="744"/>
      <c r="G73" s="744"/>
      <c r="H73" s="744"/>
      <c r="I73" s="744"/>
      <c r="J73" s="744"/>
      <c r="K73" s="744"/>
      <c r="L73" s="744"/>
      <c r="M73" s="744"/>
      <c r="N73" s="744"/>
      <c r="O73" s="744"/>
      <c r="P73" s="744"/>
      <c r="Q73" s="744"/>
      <c r="R73" s="744"/>
      <c r="S73" s="744"/>
    </row>
    <row r="74" spans="1:19" x14ac:dyDescent="0.2">
      <c r="A74" s="834" t="s">
        <v>972</v>
      </c>
      <c r="B74" s="835">
        <v>0</v>
      </c>
      <c r="C74" s="836"/>
      <c r="D74" s="802"/>
      <c r="E74" s="744"/>
      <c r="F74" s="744"/>
      <c r="G74" s="744"/>
      <c r="H74" s="744"/>
      <c r="I74" s="744"/>
      <c r="J74" s="744"/>
      <c r="K74" s="744"/>
      <c r="L74" s="744"/>
      <c r="M74" s="744"/>
      <c r="N74" s="744"/>
      <c r="O74" s="744"/>
      <c r="P74" s="744"/>
      <c r="Q74" s="744"/>
      <c r="R74" s="744"/>
      <c r="S74" s="744"/>
    </row>
    <row r="75" spans="1:19" x14ac:dyDescent="0.2">
      <c r="A75" s="837" t="s">
        <v>970</v>
      </c>
      <c r="B75" s="756">
        <v>0</v>
      </c>
      <c r="C75" s="838"/>
      <c r="D75" s="802"/>
      <c r="E75" s="744"/>
      <c r="F75" s="744"/>
      <c r="G75" s="744"/>
      <c r="H75" s="744"/>
      <c r="I75" s="744"/>
      <c r="J75" s="744"/>
      <c r="K75" s="744"/>
      <c r="L75" s="744"/>
      <c r="M75" s="744"/>
      <c r="N75" s="744"/>
      <c r="O75" s="744"/>
      <c r="P75" s="744"/>
      <c r="Q75" s="744"/>
      <c r="R75" s="744"/>
      <c r="S75" s="744"/>
    </row>
    <row r="76" spans="1:19" x14ac:dyDescent="0.2">
      <c r="A76" s="837" t="s">
        <v>971</v>
      </c>
      <c r="B76" s="756">
        <v>0</v>
      </c>
      <c r="C76" s="838"/>
      <c r="D76" s="802"/>
      <c r="E76" s="744"/>
      <c r="F76" s="744"/>
      <c r="G76" s="744"/>
      <c r="H76" s="744"/>
      <c r="I76" s="744"/>
      <c r="J76" s="744"/>
      <c r="K76" s="744"/>
      <c r="L76" s="744"/>
      <c r="M76" s="744"/>
      <c r="N76" s="744"/>
      <c r="O76" s="744"/>
      <c r="P76" s="744"/>
      <c r="Q76" s="744"/>
      <c r="R76" s="744"/>
      <c r="S76" s="744"/>
    </row>
    <row r="77" spans="1:19" ht="12" thickBot="1" x14ac:dyDescent="0.25">
      <c r="A77" s="839" t="s">
        <v>996</v>
      </c>
      <c r="B77" s="840">
        <v>0</v>
      </c>
      <c r="C77" s="841"/>
      <c r="D77" s="802"/>
      <c r="E77" s="744"/>
      <c r="F77" s="744"/>
      <c r="G77" s="744"/>
      <c r="H77" s="744"/>
      <c r="I77" s="744"/>
      <c r="J77" s="744"/>
      <c r="K77" s="744"/>
      <c r="L77" s="744"/>
      <c r="M77" s="744"/>
      <c r="N77" s="744"/>
      <c r="O77" s="744"/>
      <c r="P77" s="744"/>
      <c r="Q77" s="744"/>
      <c r="R77" s="744"/>
      <c r="S77" s="744"/>
    </row>
    <row r="78" spans="1:19" x14ac:dyDescent="0.2">
      <c r="A78" s="744"/>
      <c r="B78" s="802"/>
      <c r="C78" s="744"/>
      <c r="D78" s="802"/>
      <c r="E78" s="744"/>
      <c r="F78" s="744"/>
      <c r="G78" s="744"/>
      <c r="H78" s="744"/>
      <c r="I78" s="744"/>
      <c r="J78" s="744"/>
      <c r="K78" s="744"/>
      <c r="L78" s="744"/>
      <c r="M78" s="744"/>
      <c r="N78" s="744"/>
      <c r="O78" s="744"/>
      <c r="P78" s="744"/>
      <c r="Q78" s="744"/>
      <c r="R78" s="744"/>
      <c r="S78" s="744"/>
    </row>
  </sheetData>
  <mergeCells count="79">
    <mergeCell ref="H71:J71"/>
    <mergeCell ref="M71:N71"/>
    <mergeCell ref="A72:C72"/>
    <mergeCell ref="M72:N72"/>
    <mergeCell ref="O72:Q72"/>
    <mergeCell ref="H68:J68"/>
    <mergeCell ref="M68:N68"/>
    <mergeCell ref="H69:J69"/>
    <mergeCell ref="M69:N69"/>
    <mergeCell ref="H70:J70"/>
    <mergeCell ref="M70:N70"/>
    <mergeCell ref="H67:J67"/>
    <mergeCell ref="M67:N67"/>
    <mergeCell ref="H61:J61"/>
    <mergeCell ref="M61:N61"/>
    <mergeCell ref="H62:J62"/>
    <mergeCell ref="M62:N62"/>
    <mergeCell ref="H63:J63"/>
    <mergeCell ref="M63:N63"/>
    <mergeCell ref="H64:J64"/>
    <mergeCell ref="M64:N64"/>
    <mergeCell ref="H65:P65"/>
    <mergeCell ref="H66:J66"/>
    <mergeCell ref="M66:N66"/>
    <mergeCell ref="H58:J58"/>
    <mergeCell ref="M58:N58"/>
    <mergeCell ref="H59:J59"/>
    <mergeCell ref="M59:N59"/>
    <mergeCell ref="H60:J60"/>
    <mergeCell ref="M60:N60"/>
    <mergeCell ref="H50:J50"/>
    <mergeCell ref="L50:M50"/>
    <mergeCell ref="N50:O50"/>
    <mergeCell ref="H52:I52"/>
    <mergeCell ref="A57:F57"/>
    <mergeCell ref="H57:P57"/>
    <mergeCell ref="H48:J48"/>
    <mergeCell ref="L48:M48"/>
    <mergeCell ref="N48:O48"/>
    <mergeCell ref="H49:J49"/>
    <mergeCell ref="L49:M49"/>
    <mergeCell ref="N49:O49"/>
    <mergeCell ref="A45:F45"/>
    <mergeCell ref="H45:O45"/>
    <mergeCell ref="H46:J47"/>
    <mergeCell ref="K46:M46"/>
    <mergeCell ref="N46:O47"/>
    <mergeCell ref="L47:M47"/>
    <mergeCell ref="K36:Q42"/>
    <mergeCell ref="G37:H37"/>
    <mergeCell ref="G38:H38"/>
    <mergeCell ref="G39:H39"/>
    <mergeCell ref="G40:H40"/>
    <mergeCell ref="D31:E31"/>
    <mergeCell ref="G31:I31"/>
    <mergeCell ref="G32:H32"/>
    <mergeCell ref="G33:H33"/>
    <mergeCell ref="G36:H36"/>
    <mergeCell ref="K33:Q35"/>
    <mergeCell ref="G34:H34"/>
    <mergeCell ref="I34:J34"/>
    <mergeCell ref="G35:H35"/>
    <mergeCell ref="G20:H20"/>
    <mergeCell ref="K20:Q22"/>
    <mergeCell ref="G21:H21"/>
    <mergeCell ref="I21:J21"/>
    <mergeCell ref="G22:H22"/>
    <mergeCell ref="G23:H23"/>
    <mergeCell ref="K23:Q29"/>
    <mergeCell ref="G24:H24"/>
    <mergeCell ref="G25:H25"/>
    <mergeCell ref="G26:H26"/>
    <mergeCell ref="G27:H27"/>
    <mergeCell ref="G19:H19"/>
    <mergeCell ref="F5:S5"/>
    <mergeCell ref="F6:S15"/>
    <mergeCell ref="A10:C10"/>
    <mergeCell ref="D18:E18"/>
    <mergeCell ref="G18:I18"/>
  </mergeCells>
  <conditionalFormatting sqref="A47:F51 K48:K49 K59:K61">
    <cfRule type="expression" priority="4">
      <formula>" "</formula>
    </cfRule>
  </conditionalFormatting>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3F9D21-B966-4EEF-8DF3-2CF9750F0583}">
  <sheetPr>
    <tabColor rgb="FF00587A"/>
  </sheetPr>
  <dimension ref="A1:AK32"/>
  <sheetViews>
    <sheetView showGridLines="0" zoomScaleNormal="100" workbookViewId="0">
      <selection activeCell="H28" sqref="H28"/>
    </sheetView>
  </sheetViews>
  <sheetFormatPr defaultColWidth="0" defaultRowHeight="0" customHeight="1" zeroHeight="1" x14ac:dyDescent="0.2"/>
  <cols>
    <col min="1" max="1" width="2.85546875" style="644" customWidth="1"/>
    <col min="2" max="2" width="15.85546875" style="644" customWidth="1"/>
    <col min="3" max="8" width="8.85546875" style="644" customWidth="1"/>
    <col min="9" max="9" width="15.85546875" style="644" customWidth="1"/>
    <col min="10" max="14" width="8.85546875" style="644" customWidth="1"/>
    <col min="15" max="15" width="2.85546875" style="644" customWidth="1"/>
    <col min="16" max="16" width="0" style="644" hidden="1" customWidth="1"/>
    <col min="17" max="16384" width="8.85546875" style="644" hidden="1"/>
  </cols>
  <sheetData>
    <row r="1" spans="1:37" s="565" customFormat="1" ht="11.25" x14ac:dyDescent="0.2">
      <c r="A1" s="559"/>
      <c r="B1" s="560"/>
      <c r="C1" s="560"/>
      <c r="D1" s="561"/>
      <c r="E1" s="561"/>
      <c r="F1" s="562"/>
      <c r="G1" s="563"/>
      <c r="H1" s="563"/>
      <c r="I1" s="563"/>
      <c r="J1" s="563"/>
      <c r="K1" s="563"/>
      <c r="L1" s="563"/>
      <c r="M1" s="563"/>
      <c r="N1" s="563"/>
      <c r="O1" s="563"/>
      <c r="P1" s="563"/>
      <c r="Q1" s="563"/>
      <c r="R1" s="563"/>
      <c r="S1" s="563"/>
      <c r="T1" s="563"/>
      <c r="U1" s="563"/>
      <c r="V1" s="563"/>
      <c r="W1" s="563"/>
      <c r="X1" s="563"/>
      <c r="Y1" s="563"/>
      <c r="Z1" s="564"/>
      <c r="AA1" s="564"/>
      <c r="AB1" s="564"/>
      <c r="AC1" s="564"/>
      <c r="AD1" s="564"/>
      <c r="AE1" s="564"/>
      <c r="AF1" s="564"/>
      <c r="AG1" s="564"/>
      <c r="AH1" s="564"/>
      <c r="AI1" s="564"/>
      <c r="AJ1" s="564"/>
      <c r="AK1" s="564"/>
    </row>
    <row r="2" spans="1:37" s="544" customFormat="1" ht="21" customHeight="1" x14ac:dyDescent="0.2">
      <c r="A2" s="539"/>
      <c r="B2" s="545" t="s">
        <v>906</v>
      </c>
      <c r="C2" s="545"/>
      <c r="D2" s="545"/>
      <c r="E2" s="566"/>
      <c r="F2" s="567"/>
      <c r="G2" s="568"/>
      <c r="H2" s="568"/>
      <c r="I2" s="568"/>
      <c r="J2" s="568"/>
      <c r="K2" s="568"/>
      <c r="L2" s="542"/>
      <c r="M2" s="542"/>
      <c r="N2" s="542"/>
      <c r="O2" s="542"/>
      <c r="P2" s="542"/>
      <c r="Q2" s="542"/>
      <c r="R2" s="542"/>
      <c r="S2" s="542"/>
      <c r="T2" s="542"/>
      <c r="U2" s="542"/>
      <c r="V2" s="542"/>
      <c r="W2" s="542"/>
      <c r="X2" s="542"/>
      <c r="Y2" s="542"/>
    </row>
    <row r="3" spans="1:37" ht="12" x14ac:dyDescent="0.2"/>
    <row r="4" spans="1:37" ht="12" x14ac:dyDescent="0.2"/>
    <row r="5" spans="1:37" ht="12" x14ac:dyDescent="0.2"/>
    <row r="6" spans="1:37" ht="19.5" customHeight="1" x14ac:dyDescent="0.2">
      <c r="B6" s="575" t="s">
        <v>907</v>
      </c>
      <c r="C6" s="575"/>
      <c r="D6" s="575"/>
      <c r="E6" s="575"/>
      <c r="F6" s="575"/>
      <c r="G6" s="645"/>
      <c r="I6" s="575" t="s">
        <v>908</v>
      </c>
      <c r="J6" s="575"/>
      <c r="K6" s="575"/>
      <c r="L6" s="575"/>
      <c r="M6" s="575"/>
      <c r="N6" s="645"/>
    </row>
    <row r="7" spans="1:37" ht="12" x14ac:dyDescent="0.2">
      <c r="B7" s="583" t="s">
        <v>41</v>
      </c>
      <c r="C7" s="586">
        <v>2021</v>
      </c>
      <c r="D7" s="586">
        <f>C7+1</f>
        <v>2022</v>
      </c>
      <c r="E7" s="586">
        <f t="shared" ref="E7:G7" si="0">D7+1</f>
        <v>2023</v>
      </c>
      <c r="F7" s="586">
        <f t="shared" si="0"/>
        <v>2024</v>
      </c>
      <c r="G7" s="587">
        <f t="shared" si="0"/>
        <v>2025</v>
      </c>
      <c r="I7" s="583" t="s">
        <v>41</v>
      </c>
      <c r="J7" s="586">
        <f>C7</f>
        <v>2021</v>
      </c>
      <c r="K7" s="586">
        <f t="shared" ref="K7:N7" si="1">D7</f>
        <v>2022</v>
      </c>
      <c r="L7" s="586">
        <f t="shared" si="1"/>
        <v>2023</v>
      </c>
      <c r="M7" s="586">
        <f t="shared" si="1"/>
        <v>2024</v>
      </c>
      <c r="N7" s="587">
        <f t="shared" si="1"/>
        <v>2025</v>
      </c>
    </row>
    <row r="8" spans="1:37" ht="12" x14ac:dyDescent="0.2">
      <c r="B8" s="646" t="s">
        <v>45</v>
      </c>
      <c r="C8" s="644" t="e">
        <f>Projections!#REF!</f>
        <v>#REF!</v>
      </c>
      <c r="D8" s="644">
        <f>Projections!J12</f>
        <v>1264875</v>
      </c>
      <c r="E8" s="644">
        <f>Projections!K12</f>
        <v>2188087.6874999995</v>
      </c>
      <c r="F8" s="644">
        <f>Projections!L12</f>
        <v>2938382.955543749</v>
      </c>
      <c r="G8" s="647">
        <f>Projections!M12</f>
        <v>3642419.5116920313</v>
      </c>
      <c r="I8" s="646" t="s">
        <v>909</v>
      </c>
      <c r="J8" s="644">
        <f>'Návratnosť projektu'!G14</f>
        <v>-30000</v>
      </c>
      <c r="K8" s="644">
        <f>'Návratnosť projektu'!H14</f>
        <v>130081.51008333336</v>
      </c>
      <c r="L8" s="644">
        <f>'Návratnosť projektu'!I14</f>
        <v>322567.16337940696</v>
      </c>
      <c r="M8" s="644">
        <f>'Návratnosť projektu'!J14</f>
        <v>472188.77941723942</v>
      </c>
      <c r="N8" s="647">
        <f>'Návratnosť projektu'!K14</f>
        <v>618296.22212143708</v>
      </c>
    </row>
    <row r="9" spans="1:37" ht="12" x14ac:dyDescent="0.2">
      <c r="B9" s="646" t="s">
        <v>925</v>
      </c>
      <c r="C9" s="644" t="e">
        <f>-SUM(Projections!#REF!,Projections!#REF!)</f>
        <v>#REF!</v>
      </c>
      <c r="D9" s="644">
        <f>-SUM(Projections!J20,Projections!J33)</f>
        <v>994987.70500000007</v>
      </c>
      <c r="E9" s="644">
        <f>-SUM(Projections!K20,Projections!K33)</f>
        <v>1626352.3370424996</v>
      </c>
      <c r="F9" s="644">
        <f>-SUM(Projections!L20,Projections!L33)</f>
        <v>2162092.0852703722</v>
      </c>
      <c r="G9" s="647">
        <f>-SUM(Projections!M20,Projections!M33)</f>
        <v>2619391.7169031538</v>
      </c>
      <c r="I9" s="646" t="s">
        <v>910</v>
      </c>
      <c r="J9" s="644">
        <f>'Návratnosť projektu'!G15</f>
        <v>-30000</v>
      </c>
      <c r="K9" s="644">
        <f>'Návratnosť projektu'!H15</f>
        <v>100081.51008333336</v>
      </c>
      <c r="L9" s="644">
        <f>'Návratnosť projektu'!I15</f>
        <v>422648.67346274032</v>
      </c>
      <c r="M9" s="644">
        <f>'Návratnosť projektu'!J15</f>
        <v>894837.45287997974</v>
      </c>
      <c r="N9" s="647">
        <f>'Návratnosť projektu'!K15</f>
        <v>1513133.6750014168</v>
      </c>
    </row>
    <row r="10" spans="1:37" ht="12" x14ac:dyDescent="0.2">
      <c r="B10" s="646" t="s">
        <v>1</v>
      </c>
      <c r="C10" s="644" t="e">
        <f>Projections!#REF!</f>
        <v>#REF!</v>
      </c>
      <c r="D10" s="644">
        <f>Projections!J34</f>
        <v>269887.29500000004</v>
      </c>
      <c r="E10" s="644">
        <f>Projections!K34</f>
        <v>561735.35045749997</v>
      </c>
      <c r="F10" s="644">
        <f>Projections!L34</f>
        <v>776290.87027337658</v>
      </c>
      <c r="G10" s="647">
        <f>Projections!M34</f>
        <v>1023027.7947888777</v>
      </c>
      <c r="I10" s="648"/>
      <c r="N10" s="647"/>
    </row>
    <row r="11" spans="1:37" ht="12" x14ac:dyDescent="0.2">
      <c r="B11" s="648"/>
      <c r="G11" s="647"/>
      <c r="I11" s="648"/>
      <c r="N11" s="647"/>
    </row>
    <row r="12" spans="1:37" ht="12" x14ac:dyDescent="0.2">
      <c r="B12" s="648"/>
      <c r="G12" s="647"/>
      <c r="I12" s="648"/>
      <c r="N12" s="647"/>
    </row>
    <row r="13" spans="1:37" ht="12" x14ac:dyDescent="0.2">
      <c r="B13" s="648"/>
      <c r="G13" s="647"/>
      <c r="I13" s="648"/>
      <c r="N13" s="647"/>
    </row>
    <row r="14" spans="1:37" ht="12" x14ac:dyDescent="0.2">
      <c r="B14" s="648"/>
      <c r="G14" s="647"/>
      <c r="I14" s="648"/>
      <c r="N14" s="647"/>
    </row>
    <row r="15" spans="1:37" ht="12" x14ac:dyDescent="0.2">
      <c r="B15" s="648"/>
      <c r="G15" s="647"/>
      <c r="I15" s="648"/>
      <c r="N15" s="647"/>
    </row>
    <row r="16" spans="1:37" ht="12" x14ac:dyDescent="0.2">
      <c r="B16" s="648"/>
      <c r="G16" s="647"/>
      <c r="I16" s="648"/>
      <c r="N16" s="647"/>
    </row>
    <row r="17" spans="2:14" ht="12" x14ac:dyDescent="0.2">
      <c r="B17" s="648"/>
      <c r="G17" s="647"/>
      <c r="I17" s="648"/>
      <c r="N17" s="647"/>
    </row>
    <row r="18" spans="2:14" ht="12" x14ac:dyDescent="0.2">
      <c r="B18" s="648"/>
      <c r="G18" s="647"/>
      <c r="I18" s="648"/>
      <c r="N18" s="647"/>
    </row>
    <row r="19" spans="2:14" ht="12" x14ac:dyDescent="0.2">
      <c r="B19" s="648"/>
      <c r="G19" s="647"/>
      <c r="I19" s="648"/>
      <c r="N19" s="647"/>
    </row>
    <row r="20" spans="2:14" ht="12" x14ac:dyDescent="0.2">
      <c r="B20" s="648"/>
      <c r="G20" s="647"/>
      <c r="I20" s="648"/>
      <c r="N20" s="647"/>
    </row>
    <row r="21" spans="2:14" ht="12" x14ac:dyDescent="0.2">
      <c r="B21" s="648"/>
      <c r="G21" s="647"/>
      <c r="I21" s="648"/>
      <c r="N21" s="647"/>
    </row>
    <row r="22" spans="2:14" ht="12" x14ac:dyDescent="0.2">
      <c r="B22" s="648"/>
      <c r="G22" s="647"/>
      <c r="I22" s="648"/>
      <c r="N22" s="647"/>
    </row>
    <row r="23" spans="2:14" ht="12" x14ac:dyDescent="0.2">
      <c r="B23" s="648"/>
      <c r="G23" s="647"/>
      <c r="I23" s="648"/>
      <c r="N23" s="647"/>
    </row>
    <row r="24" spans="2:14" ht="12" x14ac:dyDescent="0.2">
      <c r="B24" s="648"/>
      <c r="G24" s="647"/>
      <c r="I24" s="648"/>
      <c r="N24" s="647"/>
    </row>
    <row r="25" spans="2:14" ht="12" x14ac:dyDescent="0.2">
      <c r="B25" s="648"/>
      <c r="G25" s="647"/>
      <c r="I25" s="648"/>
      <c r="N25" s="647"/>
    </row>
    <row r="26" spans="2:14" ht="12" x14ac:dyDescent="0.2">
      <c r="B26" s="648"/>
      <c r="G26" s="647"/>
      <c r="I26" s="648"/>
      <c r="N26" s="647"/>
    </row>
    <row r="27" spans="2:14" ht="12" x14ac:dyDescent="0.2">
      <c r="B27" s="648"/>
      <c r="G27" s="647"/>
      <c r="I27" s="648"/>
      <c r="N27" s="647"/>
    </row>
    <row r="28" spans="2:14" ht="12" x14ac:dyDescent="0.2">
      <c r="B28" s="648"/>
      <c r="G28" s="647"/>
      <c r="I28" s="648"/>
      <c r="N28" s="647"/>
    </row>
    <row r="29" spans="2:14" ht="12" x14ac:dyDescent="0.2">
      <c r="B29" s="648"/>
      <c r="G29" s="647"/>
      <c r="I29" s="648"/>
      <c r="N29" s="647"/>
    </row>
    <row r="30" spans="2:14" ht="12.75" thickBot="1" x14ac:dyDescent="0.25">
      <c r="B30" s="649"/>
      <c r="C30" s="650"/>
      <c r="D30" s="650"/>
      <c r="E30" s="650"/>
      <c r="F30" s="650"/>
      <c r="G30" s="651"/>
      <c r="I30" s="649"/>
      <c r="J30" s="650"/>
      <c r="K30" s="650"/>
      <c r="L30" s="650"/>
      <c r="M30" s="650"/>
      <c r="N30" s="651"/>
    </row>
    <row r="31" spans="2:14" ht="12" x14ac:dyDescent="0.2"/>
    <row r="32" spans="2:14" ht="12" x14ac:dyDescent="0.2"/>
  </sheetData>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A6839F-8D98-4AD3-8569-75115C91228E}">
  <sheetPr>
    <tabColor theme="0" tint="-0.499984740745262"/>
  </sheetPr>
  <dimension ref="A1"/>
  <sheetViews>
    <sheetView workbookViewId="0">
      <selection activeCell="L27" sqref="L27"/>
    </sheetView>
  </sheetViews>
  <sheetFormatPr defaultColWidth="8.85546875" defaultRowHeight="12.75" x14ac:dyDescent="0.2"/>
  <cols>
    <col min="1" max="16384" width="8.85546875" style="698"/>
  </cols>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3DB485-05C7-4EBB-8C81-868CD6424CCA}">
  <sheetPr>
    <tabColor rgb="FF0F3057"/>
  </sheetPr>
  <dimension ref="A1:AC40"/>
  <sheetViews>
    <sheetView showGridLines="0" topLeftCell="A22" zoomScaleNormal="100" zoomScaleSheetLayoutView="100" workbookViewId="0">
      <selection activeCell="L21" sqref="L21"/>
    </sheetView>
  </sheetViews>
  <sheetFormatPr defaultColWidth="0" defaultRowHeight="15" customHeight="1" zeroHeight="1" x14ac:dyDescent="0.25"/>
  <cols>
    <col min="1" max="1" width="9.140625" style="551" customWidth="1"/>
    <col min="2" max="2" width="13.5703125" style="551" customWidth="1"/>
    <col min="3" max="3" width="9.140625" style="551" customWidth="1"/>
    <col min="4" max="4" width="3.42578125" style="551" customWidth="1"/>
    <col min="5" max="13" width="9.140625" style="551" customWidth="1"/>
    <col min="14" max="14" width="5" style="551" customWidth="1"/>
    <col min="15" max="15" width="9.140625" style="551" customWidth="1"/>
    <col min="16" max="29" width="0" style="551" hidden="1" customWidth="1"/>
    <col min="30" max="16384" width="9.140625" style="551" hidden="1"/>
  </cols>
  <sheetData>
    <row r="1" spans="1:29" s="544" customFormat="1" ht="11.25" x14ac:dyDescent="0.2">
      <c r="A1" s="539"/>
      <c r="B1" s="540"/>
      <c r="C1" s="539"/>
      <c r="D1" s="541"/>
      <c r="E1" s="542"/>
      <c r="F1" s="542"/>
      <c r="G1" s="542"/>
      <c r="H1" s="542"/>
      <c r="I1" s="542"/>
      <c r="J1" s="542"/>
      <c r="K1" s="542"/>
      <c r="L1" s="543"/>
      <c r="M1" s="542"/>
      <c r="N1" s="542"/>
      <c r="O1" s="542"/>
    </row>
    <row r="2" spans="1:29" s="544" customFormat="1" ht="21" customHeight="1" x14ac:dyDescent="0.2">
      <c r="A2" s="539"/>
      <c r="B2" s="545"/>
      <c r="C2" s="546"/>
      <c r="D2" s="547"/>
      <c r="E2" s="548"/>
      <c r="F2" s="548"/>
      <c r="G2" s="548"/>
      <c r="H2" s="548"/>
      <c r="I2" s="548"/>
      <c r="J2" s="548"/>
      <c r="K2" s="542"/>
      <c r="L2" s="549"/>
      <c r="M2" s="542"/>
      <c r="N2" s="550"/>
      <c r="O2" s="542"/>
    </row>
    <row r="3" spans="1:29" x14ac:dyDescent="0.25"/>
    <row r="4" spans="1:29" x14ac:dyDescent="0.25"/>
    <row r="5" spans="1:29" x14ac:dyDescent="0.25"/>
    <row r="6" spans="1:29" x14ac:dyDescent="0.25"/>
    <row r="7" spans="1:29" x14ac:dyDescent="0.25"/>
    <row r="8" spans="1:29" x14ac:dyDescent="0.25"/>
    <row r="9" spans="1:29" x14ac:dyDescent="0.25"/>
    <row r="10" spans="1:29" x14ac:dyDescent="0.25"/>
    <row r="11" spans="1:29" ht="44.25" customHeight="1" x14ac:dyDescent="0.4">
      <c r="C11" s="552"/>
      <c r="L11" s="553"/>
      <c r="W11" s="552"/>
      <c r="AC11" s="553"/>
    </row>
    <row r="12" spans="1:29" ht="8.25" customHeight="1" x14ac:dyDescent="0.25"/>
    <row r="13" spans="1:29" ht="8.25" customHeight="1" x14ac:dyDescent="0.25">
      <c r="C13" s="554"/>
      <c r="W13" s="554"/>
    </row>
    <row r="14" spans="1:29" ht="18" x14ac:dyDescent="0.25">
      <c r="C14" s="555"/>
      <c r="Q14" s="556"/>
      <c r="W14" s="555"/>
    </row>
    <row r="15" spans="1:29" x14ac:dyDescent="0.25">
      <c r="C15" s="557"/>
      <c r="D15" s="557"/>
    </row>
    <row r="16" spans="1:29" x14ac:dyDescent="0.25">
      <c r="C16" s="557"/>
    </row>
    <row r="17" spans="1:8" x14ac:dyDescent="0.25">
      <c r="C17" s="1484"/>
      <c r="D17" s="558"/>
    </row>
    <row r="18" spans="1:8" ht="46.5" x14ac:dyDescent="0.7">
      <c r="D18" s="558"/>
      <c r="G18" s="1648" t="s">
        <v>1622</v>
      </c>
      <c r="H18" s="1648"/>
    </row>
    <row r="19" spans="1:8" x14ac:dyDescent="0.25"/>
    <row r="20" spans="1:8" x14ac:dyDescent="0.25"/>
    <row r="21" spans="1:8" x14ac:dyDescent="0.25"/>
    <row r="22" spans="1:8" x14ac:dyDescent="0.25"/>
    <row r="23" spans="1:8" x14ac:dyDescent="0.25"/>
    <row r="24" spans="1:8" x14ac:dyDescent="0.25"/>
    <row r="25" spans="1:8" x14ac:dyDescent="0.25"/>
    <row r="26" spans="1:8" x14ac:dyDescent="0.25"/>
    <row r="27" spans="1:8" x14ac:dyDescent="0.25">
      <c r="A27" s="551" t="s">
        <v>1628</v>
      </c>
    </row>
    <row r="28" spans="1:8" x14ac:dyDescent="0.25">
      <c r="A28" s="551" t="s">
        <v>1627</v>
      </c>
    </row>
    <row r="29" spans="1:8" x14ac:dyDescent="0.25">
      <c r="A29" s="551" t="s">
        <v>1629</v>
      </c>
    </row>
    <row r="30" spans="1:8" x14ac:dyDescent="0.25">
      <c r="A30" s="551" t="s">
        <v>1630</v>
      </c>
    </row>
    <row r="31" spans="1:8" x14ac:dyDescent="0.25">
      <c r="A31" s="551" t="s">
        <v>1631</v>
      </c>
    </row>
    <row r="32" spans="1:8" x14ac:dyDescent="0.25">
      <c r="A32" s="551" t="s">
        <v>1632</v>
      </c>
    </row>
    <row r="33" spans="1:1" x14ac:dyDescent="0.25"/>
    <row r="34" spans="1:1" ht="14.25" customHeight="1" x14ac:dyDescent="0.25"/>
    <row r="35" spans="1:1" hidden="1" x14ac:dyDescent="0.25">
      <c r="A35" s="551" t="s">
        <v>1623</v>
      </c>
    </row>
    <row r="36" spans="1:1" hidden="1" x14ac:dyDescent="0.25">
      <c r="A36" s="551" t="s">
        <v>1624</v>
      </c>
    </row>
    <row r="37" spans="1:1" hidden="1" x14ac:dyDescent="0.25">
      <c r="A37" s="551" t="s">
        <v>1625</v>
      </c>
    </row>
    <row r="38" spans="1:1" hidden="1" x14ac:dyDescent="0.25">
      <c r="A38" s="551" t="s">
        <v>1626</v>
      </c>
    </row>
    <row r="39" spans="1:1" hidden="1" x14ac:dyDescent="0.25"/>
    <row r="40" spans="1:1" hidden="1" x14ac:dyDescent="0.25"/>
  </sheetData>
  <pageMargins left="0.7" right="0.7" top="0.75" bottom="0.75" header="0.3" footer="0.3"/>
  <pageSetup paperSize="9" scale="63"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outlinePr summaryBelow="0"/>
  </sheetPr>
  <dimension ref="A1:AA136"/>
  <sheetViews>
    <sheetView showGridLines="0" topLeftCell="D22" zoomScaleNormal="100" workbookViewId="0">
      <selection activeCell="H16" sqref="H16"/>
    </sheetView>
  </sheetViews>
  <sheetFormatPr defaultColWidth="0" defaultRowHeight="11.25" zeroHeight="1" x14ac:dyDescent="0.2"/>
  <cols>
    <col min="1" max="1" width="2.85546875" style="2" customWidth="1"/>
    <col min="2" max="2" width="8.42578125" style="270" hidden="1" customWidth="1"/>
    <col min="3" max="3" width="42.85546875" style="2" hidden="1" customWidth="1"/>
    <col min="4" max="4" width="42.85546875" style="2" customWidth="1"/>
    <col min="5" max="9" width="10.7109375" style="2" customWidth="1"/>
    <col min="10" max="10" width="2.5703125" style="2" customWidth="1"/>
    <col min="11" max="15" width="9" style="2" customWidth="1"/>
    <col min="16" max="16" width="2.5703125" style="2" customWidth="1"/>
    <col min="17" max="19" width="9" style="2" customWidth="1"/>
    <col min="20" max="20" width="9.85546875" style="2" customWidth="1"/>
    <col min="21" max="21" width="9" style="2" customWidth="1"/>
    <col min="22" max="22" width="9.140625" style="2" customWidth="1"/>
    <col min="23" max="23" width="114.140625" style="534" customWidth="1"/>
    <col min="24" max="24" width="9.140625" style="2" customWidth="1"/>
    <col min="25" max="27" width="0" style="2" hidden="1" customWidth="1"/>
    <col min="28" max="16384" width="9.140625" style="2" hidden="1"/>
  </cols>
  <sheetData>
    <row r="1" spans="1:27" x14ac:dyDescent="0.2">
      <c r="A1" s="190"/>
      <c r="B1" s="193"/>
      <c r="C1" s="190"/>
      <c r="D1" s="190"/>
      <c r="E1" s="190"/>
      <c r="F1" s="190"/>
      <c r="G1" s="190"/>
      <c r="H1" s="190"/>
      <c r="I1" s="190"/>
      <c r="J1" s="190"/>
      <c r="K1" s="190"/>
      <c r="L1" s="190"/>
      <c r="M1" s="190"/>
      <c r="N1" s="190"/>
      <c r="O1" s="190"/>
      <c r="P1" s="339"/>
      <c r="Q1" s="190"/>
      <c r="R1" s="190"/>
      <c r="S1" s="190"/>
      <c r="T1" s="190"/>
      <c r="U1" s="190"/>
      <c r="V1" s="190"/>
      <c r="W1" s="531"/>
      <c r="X1" s="190"/>
      <c r="Y1" s="190"/>
      <c r="Z1" s="190"/>
      <c r="AA1" s="190"/>
    </row>
    <row r="2" spans="1:27" ht="21" customHeight="1" x14ac:dyDescent="0.2">
      <c r="A2" s="190"/>
      <c r="B2" s="193" t="str">
        <f>CONCATENATE("Analysis of financial results: ",Aktíva!E1)</f>
        <v xml:space="preserve">Analysis of financial results: </v>
      </c>
      <c r="C2" s="374" t="str">
        <f>CONCATENATE("Analýza finančných výsledkov: ",Aktíva!D1)</f>
        <v>Analýza finančných výsledkov: XXY s.r.o.</v>
      </c>
      <c r="D2" s="694" t="str">
        <f>CONCATENATE("Analýza historických finančných výsledkov: ",Aktíva!D1)</f>
        <v>Analýza historických finančných výsledkov: XXY s.r.o.</v>
      </c>
      <c r="E2" s="190"/>
      <c r="F2" s="190"/>
      <c r="G2" s="190"/>
      <c r="H2" s="190"/>
      <c r="I2" s="190"/>
      <c r="J2" s="190"/>
      <c r="K2" s="190"/>
      <c r="L2" s="190"/>
      <c r="M2" s="190"/>
      <c r="N2" s="190"/>
      <c r="O2" s="190"/>
      <c r="P2" s="339"/>
      <c r="Q2" s="190"/>
      <c r="R2" s="190"/>
      <c r="S2" s="190"/>
      <c r="T2" s="190"/>
      <c r="U2" s="190"/>
      <c r="V2" s="190"/>
      <c r="W2" s="532" t="s">
        <v>879</v>
      </c>
      <c r="X2" s="190"/>
      <c r="Y2" s="190"/>
      <c r="Z2" s="190"/>
      <c r="AA2" s="190"/>
    </row>
    <row r="3" spans="1:27" s="273" customFormat="1" ht="11.25" customHeight="1" x14ac:dyDescent="0.2">
      <c r="B3" s="289"/>
      <c r="W3" s="533"/>
    </row>
    <row r="4" spans="1:27" ht="11.25" customHeight="1" x14ac:dyDescent="0.2">
      <c r="C4" s="6" t="s">
        <v>851</v>
      </c>
      <c r="D4" s="6" t="s">
        <v>852</v>
      </c>
      <c r="E4" s="376">
        <v>1</v>
      </c>
      <c r="F4" s="377" t="s">
        <v>41</v>
      </c>
      <c r="G4" s="183"/>
      <c r="H4" s="183"/>
      <c r="I4" s="183"/>
      <c r="J4" s="182"/>
    </row>
    <row r="5" spans="1:27" ht="11.25" hidden="1" customHeight="1" x14ac:dyDescent="0.2">
      <c r="C5" s="6"/>
      <c r="D5" s="6"/>
      <c r="E5" s="184">
        <f>F5-1</f>
        <v>1</v>
      </c>
      <c r="F5" s="184">
        <f>G5-1</f>
        <v>2</v>
      </c>
      <c r="G5" s="184">
        <f>H5-1</f>
        <v>3</v>
      </c>
      <c r="H5" s="184">
        <f>I5-1</f>
        <v>4</v>
      </c>
      <c r="I5" s="184">
        <v>5</v>
      </c>
      <c r="J5" s="182"/>
    </row>
    <row r="6" spans="1:27" ht="11.25" customHeight="1" x14ac:dyDescent="0.2">
      <c r="C6" s="185"/>
      <c r="D6" s="185"/>
      <c r="G6" s="186"/>
      <c r="H6" s="186"/>
      <c r="I6" s="186"/>
      <c r="J6" s="172"/>
    </row>
    <row r="7" spans="1:27" ht="19.5" customHeight="1" x14ac:dyDescent="0.2">
      <c r="B7" s="109" t="s">
        <v>18</v>
      </c>
      <c r="C7" s="109" t="s">
        <v>793</v>
      </c>
      <c r="D7" s="109" t="s">
        <v>44</v>
      </c>
      <c r="E7" s="110"/>
      <c r="F7" s="110"/>
      <c r="G7" s="110"/>
      <c r="H7" s="110"/>
      <c r="I7" s="111"/>
      <c r="J7" s="112"/>
      <c r="K7" s="109" t="s">
        <v>872</v>
      </c>
      <c r="L7" s="113"/>
      <c r="M7" s="113"/>
      <c r="N7" s="113"/>
      <c r="O7" s="114"/>
      <c r="P7" s="86"/>
      <c r="Q7" s="109" t="s">
        <v>873</v>
      </c>
      <c r="R7" s="113"/>
      <c r="S7" s="113"/>
      <c r="T7" s="113"/>
      <c r="U7" s="114"/>
    </row>
    <row r="8" spans="1:27" ht="11.25" customHeight="1" x14ac:dyDescent="0.2">
      <c r="A8" s="271"/>
      <c r="B8" s="272"/>
      <c r="C8" s="115" t="str">
        <f>'Detailné výkazy'!C7</f>
        <v xml:space="preserve">€  </v>
      </c>
      <c r="D8" s="115" t="str">
        <f>'Detailné výkazy'!C7</f>
        <v xml:space="preserve">€  </v>
      </c>
      <c r="E8" s="116" t="str">
        <f>'Detailné výkazy'!E7</f>
        <v>FY19</v>
      </c>
      <c r="F8" s="116" t="str">
        <f>'Detailné výkazy'!F7</f>
        <v>FY20</v>
      </c>
      <c r="G8" s="116" t="str">
        <f>'Detailné výkazy'!G7</f>
        <v>FY21</v>
      </c>
      <c r="H8" s="116" t="str">
        <f>'Detailné výkazy'!H7</f>
        <v>FY22</v>
      </c>
      <c r="I8" s="117" t="str">
        <f>'Detailné výkazy'!I7</f>
        <v>FY23</v>
      </c>
      <c r="J8" s="108"/>
      <c r="K8" s="712" t="s">
        <v>874</v>
      </c>
      <c r="L8" s="713" t="s">
        <v>875</v>
      </c>
      <c r="M8" s="713" t="s">
        <v>876</v>
      </c>
      <c r="N8" s="713" t="s">
        <v>877</v>
      </c>
      <c r="O8" s="714" t="s">
        <v>878</v>
      </c>
      <c r="P8" s="506"/>
      <c r="Q8" s="712" t="s">
        <v>874</v>
      </c>
      <c r="R8" s="713" t="s">
        <v>875</v>
      </c>
      <c r="S8" s="713" t="s">
        <v>876</v>
      </c>
      <c r="T8" s="713" t="s">
        <v>877</v>
      </c>
      <c r="U8" s="714" t="s">
        <v>878</v>
      </c>
      <c r="W8" s="538" t="s">
        <v>999</v>
      </c>
    </row>
    <row r="9" spans="1:27" ht="11.25" customHeight="1" x14ac:dyDescent="0.2">
      <c r="A9" s="273"/>
      <c r="B9" s="274"/>
      <c r="C9" s="118" t="s">
        <v>19</v>
      </c>
      <c r="D9" s="118" t="s">
        <v>45</v>
      </c>
      <c r="I9" s="275"/>
      <c r="J9" s="86"/>
      <c r="K9" s="715"/>
      <c r="L9" s="716"/>
      <c r="M9" s="716"/>
      <c r="N9" s="716"/>
      <c r="O9" s="717"/>
      <c r="P9" s="506"/>
      <c r="Q9" s="715"/>
      <c r="R9" s="716"/>
      <c r="S9" s="716"/>
      <c r="T9" s="716"/>
      <c r="U9" s="717"/>
    </row>
    <row r="10" spans="1:27" ht="11.25" customHeight="1" x14ac:dyDescent="0.2">
      <c r="B10" s="274">
        <v>1</v>
      </c>
      <c r="C10" s="119" t="s">
        <v>20</v>
      </c>
      <c r="D10" s="119" t="s">
        <v>487</v>
      </c>
      <c r="E10" s="196">
        <f>SUMIF('Výkaz ziskov a strát'!A:A,B10,'Výkaz ziskov a strát'!O:O)/Units</f>
        <v>0</v>
      </c>
      <c r="F10" s="196">
        <f>SUMIF('Výkaz ziskov a strát'!A:A,B10,'Výkaz ziskov a strát'!N:N)/Units</f>
        <v>0</v>
      </c>
      <c r="G10" s="196">
        <f>SUMIF('Výkaz ziskov a strát'!A:A,B10,'Výkaz ziskov a strát'!M:M)/Units</f>
        <v>0</v>
      </c>
      <c r="H10" s="196">
        <f>SUMIF('Výkaz ziskov a strát'!A:A,B10,'Výkaz ziskov a strát'!L:L)/Units</f>
        <v>0</v>
      </c>
      <c r="I10" s="197">
        <f>SUMIF('Výkaz ziskov a strát'!A:A,B10,'Výkaz ziskov a strát'!K:K)/Units</f>
        <v>0</v>
      </c>
      <c r="J10" s="710"/>
      <c r="K10" s="507" t="e">
        <f>E10/E$12</f>
        <v>#DIV/0!</v>
      </c>
      <c r="L10" s="508" t="e">
        <f t="shared" ref="L10:O11" si="0">F10/F$12</f>
        <v>#DIV/0!</v>
      </c>
      <c r="M10" s="508" t="e">
        <f t="shared" si="0"/>
        <v>#DIV/0!</v>
      </c>
      <c r="N10" s="508" t="e">
        <f t="shared" si="0"/>
        <v>#DIV/0!</v>
      </c>
      <c r="O10" s="509" t="e">
        <f t="shared" si="0"/>
        <v>#DIV/0!</v>
      </c>
      <c r="P10" s="510"/>
      <c r="Q10" s="507"/>
      <c r="R10" s="508">
        <f>IFERROR(F10/E10-1,0)</f>
        <v>0</v>
      </c>
      <c r="S10" s="508">
        <f t="shared" ref="S10:U10" si="1">IFERROR(G10/F10-1,0)</f>
        <v>0</v>
      </c>
      <c r="T10" s="1081">
        <f t="shared" si="1"/>
        <v>0</v>
      </c>
      <c r="U10" s="509">
        <f t="shared" si="1"/>
        <v>0</v>
      </c>
      <c r="W10" s="535"/>
    </row>
    <row r="11" spans="1:27" ht="11.25" customHeight="1" x14ac:dyDescent="0.2">
      <c r="B11" s="274">
        <v>2</v>
      </c>
      <c r="C11" s="119" t="s">
        <v>21</v>
      </c>
      <c r="D11" s="119" t="s">
        <v>622</v>
      </c>
      <c r="E11" s="196">
        <f>SUMIF('Výkaz ziskov a strát'!A:A,B11,'Výkaz ziskov a strát'!O:O)/Units</f>
        <v>0</v>
      </c>
      <c r="F11" s="196">
        <f>SUMIF('Výkaz ziskov a strát'!A:A,B11,'Výkaz ziskov a strát'!N:N)/Units</f>
        <v>0</v>
      </c>
      <c r="G11" s="196">
        <f>SUMIF('Výkaz ziskov a strát'!A:A,B11,'Výkaz ziskov a strát'!M:M)/Units</f>
        <v>0</v>
      </c>
      <c r="H11" s="196">
        <f>SUMIF('Výkaz ziskov a strát'!A:A,B11,'Výkaz ziskov a strát'!L:L)/Units</f>
        <v>0</v>
      </c>
      <c r="I11" s="197">
        <f>SUMIF('Výkaz ziskov a strát'!A:A,B11,'Výkaz ziskov a strát'!K:K)/Units</f>
        <v>0</v>
      </c>
      <c r="J11" s="710"/>
      <c r="K11" s="718" t="e">
        <f>E11/E$12</f>
        <v>#DIV/0!</v>
      </c>
      <c r="L11" s="711" t="e">
        <f>F11/F$12</f>
        <v>#DIV/0!</v>
      </c>
      <c r="M11" s="711" t="e">
        <f t="shared" si="0"/>
        <v>#DIV/0!</v>
      </c>
      <c r="N11" s="711" t="e">
        <f t="shared" si="0"/>
        <v>#DIV/0!</v>
      </c>
      <c r="O11" s="719" t="e">
        <f t="shared" si="0"/>
        <v>#DIV/0!</v>
      </c>
      <c r="P11" s="510"/>
      <c r="Q11" s="718"/>
      <c r="R11" s="711">
        <f t="shared" ref="R11:R20" si="2">IFERROR(F11/E11-1,0)</f>
        <v>0</v>
      </c>
      <c r="S11" s="711">
        <f>IFERROR(G11/F11-1,0)</f>
        <v>0</v>
      </c>
      <c r="T11" s="711">
        <f>IFERROR(H11/G11-1,0)</f>
        <v>0</v>
      </c>
      <c r="U11" s="719">
        <f t="shared" ref="U11:U19" si="3">IFERROR(I11/H11-1,0)</f>
        <v>0</v>
      </c>
      <c r="W11" s="536"/>
    </row>
    <row r="12" spans="1:27" s="3" customFormat="1" ht="11.25" customHeight="1" x14ac:dyDescent="0.2">
      <c r="B12" s="277"/>
      <c r="C12" s="125"/>
      <c r="D12" s="125"/>
      <c r="E12" s="198">
        <f>SUM(E10:E11)</f>
        <v>0</v>
      </c>
      <c r="F12" s="198">
        <f t="shared" ref="F12:I12" si="4">SUM(F10:F11)</f>
        <v>0</v>
      </c>
      <c r="G12" s="198">
        <f t="shared" si="4"/>
        <v>0</v>
      </c>
      <c r="H12" s="198">
        <f t="shared" si="4"/>
        <v>0</v>
      </c>
      <c r="I12" s="199">
        <f t="shared" si="4"/>
        <v>0</v>
      </c>
      <c r="J12" s="721"/>
      <c r="K12" s="511">
        <v>1</v>
      </c>
      <c r="L12" s="512">
        <v>1</v>
      </c>
      <c r="M12" s="512">
        <v>1</v>
      </c>
      <c r="N12" s="512">
        <v>1</v>
      </c>
      <c r="O12" s="513">
        <v>1</v>
      </c>
      <c r="P12" s="514"/>
      <c r="Q12" s="515"/>
      <c r="R12" s="708">
        <f>IFERROR(F12/E12-1,0)</f>
        <v>0</v>
      </c>
      <c r="S12" s="708">
        <f>IFERROR(G12/F12-1,0)</f>
        <v>0</v>
      </c>
      <c r="T12" s="708">
        <f t="shared" ref="T12:T20" si="5">IFERROR(H12/G12-1,0)</f>
        <v>0</v>
      </c>
      <c r="U12" s="709">
        <f t="shared" si="3"/>
        <v>0</v>
      </c>
      <c r="W12" s="536"/>
    </row>
    <row r="13" spans="1:27" s="3" customFormat="1" ht="11.25" customHeight="1" x14ac:dyDescent="0.2">
      <c r="B13" s="277"/>
      <c r="C13" s="118" t="s">
        <v>843</v>
      </c>
      <c r="D13" s="118" t="s">
        <v>48</v>
      </c>
      <c r="E13" s="206"/>
      <c r="F13" s="206"/>
      <c r="G13" s="206"/>
      <c r="H13" s="206"/>
      <c r="I13" s="207"/>
      <c r="J13" s="721"/>
      <c r="K13" s="515"/>
      <c r="L13" s="514"/>
      <c r="M13" s="514"/>
      <c r="N13" s="514"/>
      <c r="O13" s="516"/>
      <c r="P13" s="514"/>
      <c r="Q13" s="511"/>
      <c r="R13" s="727">
        <f t="shared" si="2"/>
        <v>0</v>
      </c>
      <c r="S13" s="727">
        <f t="shared" ref="S13:S20" si="6">IFERROR(G13/F13-1,0)</f>
        <v>0</v>
      </c>
      <c r="T13" s="727">
        <f t="shared" si="5"/>
        <v>0</v>
      </c>
      <c r="U13" s="728">
        <f t="shared" si="3"/>
        <v>0</v>
      </c>
      <c r="W13" s="536"/>
    </row>
    <row r="14" spans="1:27" ht="11.25" customHeight="1" x14ac:dyDescent="0.2">
      <c r="B14" s="274">
        <v>3</v>
      </c>
      <c r="C14" s="68" t="s">
        <v>23</v>
      </c>
      <c r="D14" s="68" t="s">
        <v>623</v>
      </c>
      <c r="E14" s="196">
        <f>SUMIF('Výkaz ziskov a strát'!A:A,B14,'Výkaz ziskov a strát'!O:O)/Units</f>
        <v>0</v>
      </c>
      <c r="F14" s="196">
        <f>SUMIF('Výkaz ziskov a strát'!A:A,B14,'Výkaz ziskov a strát'!N:N)/Units</f>
        <v>0</v>
      </c>
      <c r="G14" s="196">
        <f>SUMIF('Výkaz ziskov a strát'!A:A,B14,'Výkaz ziskov a strát'!M:M)/Units</f>
        <v>0</v>
      </c>
      <c r="H14" s="196">
        <f>SUMIF('Výkaz ziskov a strát'!A:A,B14,'Výkaz ziskov a strát'!L:L)/Units</f>
        <v>0</v>
      </c>
      <c r="I14" s="197">
        <f>SUMIF('Výkaz ziskov a strát'!A:A,B14,'Výkaz ziskov a strát'!K:K)/Units</f>
        <v>0</v>
      </c>
      <c r="J14" s="720"/>
      <c r="K14" s="507" t="e">
        <f>E14/E$12</f>
        <v>#DIV/0!</v>
      </c>
      <c r="L14" s="508" t="e">
        <f t="shared" ref="L14:O20" si="7">F14/F$12</f>
        <v>#DIV/0!</v>
      </c>
      <c r="M14" s="508" t="e">
        <f t="shared" si="7"/>
        <v>#DIV/0!</v>
      </c>
      <c r="N14" s="508" t="e">
        <f t="shared" si="7"/>
        <v>#DIV/0!</v>
      </c>
      <c r="O14" s="509" t="e">
        <f t="shared" si="7"/>
        <v>#DIV/0!</v>
      </c>
      <c r="P14" s="510"/>
      <c r="Q14" s="517"/>
      <c r="R14" s="508">
        <f t="shared" si="2"/>
        <v>0</v>
      </c>
      <c r="S14" s="508">
        <f t="shared" si="6"/>
        <v>0</v>
      </c>
      <c r="T14" s="1081">
        <f t="shared" si="5"/>
        <v>0</v>
      </c>
      <c r="U14" s="509">
        <f t="shared" si="3"/>
        <v>0</v>
      </c>
      <c r="W14" s="535"/>
    </row>
    <row r="15" spans="1:27" ht="11.25" customHeight="1" x14ac:dyDescent="0.2">
      <c r="B15" s="274">
        <v>4</v>
      </c>
      <c r="C15" s="75" t="s">
        <v>782</v>
      </c>
      <c r="D15" s="75" t="s">
        <v>624</v>
      </c>
      <c r="E15" s="196">
        <f>SUMIF('Výkaz ziskov a strát'!A:A,B15,'Výkaz ziskov a strát'!O:O)/Units</f>
        <v>0</v>
      </c>
      <c r="F15" s="196">
        <f>SUMIF('Výkaz ziskov a strát'!A:A,B15,'Výkaz ziskov a strát'!N:N)/Units</f>
        <v>0</v>
      </c>
      <c r="G15" s="196">
        <f>SUMIF('Výkaz ziskov a strát'!A:A,B15,'Výkaz ziskov a strát'!M:M)/Units</f>
        <v>0</v>
      </c>
      <c r="H15" s="196">
        <f>SUMIF('Výkaz ziskov a strát'!A:A,B15,'Výkaz ziskov a strát'!L:L)/Units</f>
        <v>0</v>
      </c>
      <c r="I15" s="197">
        <f>SUMIF('Výkaz ziskov a strát'!A:A,B15,'Výkaz ziskov a strát'!K:K)/Units</f>
        <v>0</v>
      </c>
      <c r="J15" s="86"/>
      <c r="K15" s="526" t="e">
        <f t="shared" ref="K15:K18" si="8">E15/E$12</f>
        <v>#DIV/0!</v>
      </c>
      <c r="L15" s="510" t="e">
        <f>F15/F$12</f>
        <v>#DIV/0!</v>
      </c>
      <c r="M15" s="508" t="e">
        <f t="shared" si="7"/>
        <v>#DIV/0!</v>
      </c>
      <c r="N15" s="508" t="e">
        <f t="shared" si="7"/>
        <v>#DIV/0!</v>
      </c>
      <c r="O15" s="509" t="e">
        <f t="shared" si="7"/>
        <v>#DIV/0!</v>
      </c>
      <c r="P15" s="510"/>
      <c r="Q15" s="507"/>
      <c r="R15" s="508">
        <f t="shared" si="2"/>
        <v>0</v>
      </c>
      <c r="S15" s="508">
        <f>IFERROR(G15/F15-1,0)</f>
        <v>0</v>
      </c>
      <c r="T15" s="508">
        <f t="shared" si="5"/>
        <v>0</v>
      </c>
      <c r="U15" s="509">
        <f t="shared" si="3"/>
        <v>0</v>
      </c>
      <c r="W15" s="535"/>
    </row>
    <row r="16" spans="1:27" ht="11.25" customHeight="1" x14ac:dyDescent="0.2">
      <c r="B16" s="274" t="s">
        <v>605</v>
      </c>
      <c r="C16" s="75" t="s">
        <v>783</v>
      </c>
      <c r="D16" s="75" t="s">
        <v>495</v>
      </c>
      <c r="E16" s="194">
        <f>SUMIF('Výkaz ziskov a strát'!A:A,B16,'Výkaz ziskov a strát'!O:O)/Units</f>
        <v>0</v>
      </c>
      <c r="F16" s="194">
        <f>SUMIF('Výkaz ziskov a strát'!A:A,B16,'Výkaz ziskov a strát'!N:N)/Units</f>
        <v>0</v>
      </c>
      <c r="G16" s="194">
        <f>SUMIF('Výkaz ziskov a strát'!A:A,B16,'Výkaz ziskov a strát'!M:M)/Units</f>
        <v>0</v>
      </c>
      <c r="H16" s="194">
        <f>SUMIF('Výkaz ziskov a strát'!A:A,B16,'Výkaz ziskov a strát'!L:L)/Units</f>
        <v>0</v>
      </c>
      <c r="I16" s="195">
        <f>SUMIF('Výkaz ziskov a strát'!A:A,B16,'Výkaz ziskov a strát'!K:K)/Units</f>
        <v>0</v>
      </c>
      <c r="J16" s="86"/>
      <c r="K16" s="507" t="e">
        <f t="shared" si="8"/>
        <v>#DIV/0!</v>
      </c>
      <c r="L16" s="508" t="e">
        <f t="shared" si="7"/>
        <v>#DIV/0!</v>
      </c>
      <c r="M16" s="508" t="e">
        <f t="shared" si="7"/>
        <v>#DIV/0!</v>
      </c>
      <c r="N16" s="508" t="e">
        <f t="shared" si="7"/>
        <v>#DIV/0!</v>
      </c>
      <c r="O16" s="509" t="e">
        <f t="shared" si="7"/>
        <v>#DIV/0!</v>
      </c>
      <c r="P16" s="510"/>
      <c r="Q16" s="507"/>
      <c r="R16" s="508">
        <f t="shared" si="2"/>
        <v>0</v>
      </c>
      <c r="S16" s="508">
        <f t="shared" si="6"/>
        <v>0</v>
      </c>
      <c r="T16" s="508">
        <f t="shared" si="5"/>
        <v>0</v>
      </c>
      <c r="U16" s="509">
        <f t="shared" si="3"/>
        <v>0</v>
      </c>
      <c r="W16" s="535"/>
    </row>
    <row r="17" spans="1:23" ht="11.25" customHeight="1" x14ac:dyDescent="0.2">
      <c r="B17" s="274" t="s">
        <v>606</v>
      </c>
      <c r="C17" s="119" t="s">
        <v>794</v>
      </c>
      <c r="D17" s="119" t="s">
        <v>497</v>
      </c>
      <c r="E17" s="194">
        <f>SUMIF('Výkaz ziskov a strát'!A:A,B17,'Výkaz ziskov a strát'!O:O)/Units</f>
        <v>0</v>
      </c>
      <c r="F17" s="194">
        <f>SUMIF('Výkaz ziskov a strát'!A:A,B17,'Výkaz ziskov a strát'!N:N)/Units</f>
        <v>0</v>
      </c>
      <c r="G17" s="194">
        <f>SUMIF('Výkaz ziskov a strát'!A:A,B17,'Výkaz ziskov a strát'!M:M)/Units</f>
        <v>0</v>
      </c>
      <c r="H17" s="194">
        <f>SUMIF('Výkaz ziskov a strát'!A:A,B17,'Výkaz ziskov a strát'!L:L)/Units</f>
        <v>0</v>
      </c>
      <c r="I17" s="195">
        <f>SUMIF('Výkaz ziskov a strát'!A:A,B17,'Výkaz ziskov a strát'!K:K)/Units</f>
        <v>0</v>
      </c>
      <c r="J17" s="86"/>
      <c r="K17" s="507" t="e">
        <f t="shared" si="8"/>
        <v>#DIV/0!</v>
      </c>
      <c r="L17" s="508" t="e">
        <f t="shared" si="7"/>
        <v>#DIV/0!</v>
      </c>
      <c r="M17" s="508" t="e">
        <f t="shared" si="7"/>
        <v>#DIV/0!</v>
      </c>
      <c r="N17" s="508" t="e">
        <f t="shared" si="7"/>
        <v>#DIV/0!</v>
      </c>
      <c r="O17" s="509" t="e">
        <f t="shared" si="7"/>
        <v>#DIV/0!</v>
      </c>
      <c r="P17" s="510"/>
      <c r="Q17" s="507"/>
      <c r="R17" s="508">
        <f t="shared" si="2"/>
        <v>0</v>
      </c>
      <c r="S17" s="508">
        <f t="shared" si="6"/>
        <v>0</v>
      </c>
      <c r="T17" s="508">
        <f t="shared" si="5"/>
        <v>0</v>
      </c>
      <c r="U17" s="509">
        <f t="shared" si="3"/>
        <v>0</v>
      </c>
      <c r="W17" s="535"/>
    </row>
    <row r="18" spans="1:23" ht="11.25" customHeight="1" x14ac:dyDescent="0.2">
      <c r="B18" s="274">
        <v>22</v>
      </c>
      <c r="C18" s="119" t="s">
        <v>795</v>
      </c>
      <c r="D18" s="119" t="s">
        <v>638</v>
      </c>
      <c r="E18" s="194">
        <f>SUMIF('Výkaz ziskov a strát'!A:A,B18,'Výkaz ziskov a strát'!O:O)/Units</f>
        <v>0</v>
      </c>
      <c r="F18" s="194">
        <f>SUMIF('Výkaz ziskov a strát'!A:A,B18,'Výkaz ziskov a strát'!N:N)/Units</f>
        <v>0</v>
      </c>
      <c r="G18" s="194">
        <f>SUMIF('Výkaz ziskov a strát'!A:A,B18,'Výkaz ziskov a strát'!M:M)/Units</f>
        <v>0</v>
      </c>
      <c r="H18" s="194">
        <f>SUMIF('Výkaz ziskov a strát'!A:A,B18,'Výkaz ziskov a strát'!L:L)/Units</f>
        <v>0</v>
      </c>
      <c r="I18" s="195">
        <f>SUMIF('Výkaz ziskov a strát'!A:A,B18,'Výkaz ziskov a strát'!K:K)/Units</f>
        <v>0</v>
      </c>
      <c r="J18" s="86"/>
      <c r="K18" s="718" t="e">
        <f t="shared" si="8"/>
        <v>#DIV/0!</v>
      </c>
      <c r="L18" s="711" t="e">
        <f t="shared" si="7"/>
        <v>#DIV/0!</v>
      </c>
      <c r="M18" s="711" t="e">
        <f t="shared" si="7"/>
        <v>#DIV/0!</v>
      </c>
      <c r="N18" s="711" t="e">
        <f t="shared" si="7"/>
        <v>#DIV/0!</v>
      </c>
      <c r="O18" s="719" t="e">
        <f t="shared" si="7"/>
        <v>#DIV/0!</v>
      </c>
      <c r="P18" s="510"/>
      <c r="Q18" s="718"/>
      <c r="R18" s="711">
        <f t="shared" si="2"/>
        <v>0</v>
      </c>
      <c r="S18" s="711">
        <f t="shared" si="6"/>
        <v>0</v>
      </c>
      <c r="T18" s="711">
        <f t="shared" si="5"/>
        <v>0</v>
      </c>
      <c r="U18" s="719">
        <f t="shared" si="3"/>
        <v>0</v>
      </c>
      <c r="W18" s="535"/>
    </row>
    <row r="19" spans="1:23" s="3" customFormat="1" ht="11.25" customHeight="1" x14ac:dyDescent="0.2">
      <c r="A19" s="278"/>
      <c r="B19" s="277"/>
      <c r="C19" s="125"/>
      <c r="D19" s="125"/>
      <c r="E19" s="198">
        <f>SUM(E14:E18)</f>
        <v>0</v>
      </c>
      <c r="F19" s="198">
        <f t="shared" ref="F19:I19" si="9">SUM(F14:F18)</f>
        <v>0</v>
      </c>
      <c r="G19" s="198">
        <f t="shared" si="9"/>
        <v>0</v>
      </c>
      <c r="H19" s="198">
        <f t="shared" si="9"/>
        <v>0</v>
      </c>
      <c r="I19" s="199">
        <f t="shared" si="9"/>
        <v>0</v>
      </c>
      <c r="J19" s="126"/>
      <c r="K19" s="722" t="e">
        <f>E19/E$12</f>
        <v>#DIV/0!</v>
      </c>
      <c r="L19" s="723" t="e">
        <f t="shared" si="7"/>
        <v>#DIV/0!</v>
      </c>
      <c r="M19" s="723" t="e">
        <f t="shared" si="7"/>
        <v>#DIV/0!</v>
      </c>
      <c r="N19" s="723" t="e">
        <f t="shared" si="7"/>
        <v>#DIV/0!</v>
      </c>
      <c r="O19" s="724" t="e">
        <f t="shared" si="7"/>
        <v>#DIV/0!</v>
      </c>
      <c r="P19" s="514"/>
      <c r="Q19" s="735"/>
      <c r="R19" s="736">
        <f t="shared" si="2"/>
        <v>0</v>
      </c>
      <c r="S19" s="736">
        <f t="shared" si="6"/>
        <v>0</v>
      </c>
      <c r="T19" s="736">
        <f t="shared" si="5"/>
        <v>0</v>
      </c>
      <c r="U19" s="737">
        <f t="shared" si="3"/>
        <v>0</v>
      </c>
      <c r="W19" s="536"/>
    </row>
    <row r="20" spans="1:23" s="3" customFormat="1" ht="11.25" customHeight="1" x14ac:dyDescent="0.2">
      <c r="B20" s="277"/>
      <c r="C20" s="125" t="s">
        <v>24</v>
      </c>
      <c r="D20" s="125" t="s">
        <v>625</v>
      </c>
      <c r="E20" s="198">
        <f>E12+E19</f>
        <v>0</v>
      </c>
      <c r="F20" s="198">
        <f>F12+F19</f>
        <v>0</v>
      </c>
      <c r="G20" s="198">
        <f>G12+G19</f>
        <v>0</v>
      </c>
      <c r="H20" s="198">
        <f>H12+H19</f>
        <v>0</v>
      </c>
      <c r="I20" s="199">
        <f>I12+I19</f>
        <v>0</v>
      </c>
      <c r="J20" s="126"/>
      <c r="K20" s="707" t="e">
        <f>E20/E$12</f>
        <v>#DIV/0!</v>
      </c>
      <c r="L20" s="708" t="e">
        <f t="shared" si="7"/>
        <v>#DIV/0!</v>
      </c>
      <c r="M20" s="708" t="e">
        <f t="shared" si="7"/>
        <v>#DIV/0!</v>
      </c>
      <c r="N20" s="708" t="e">
        <f t="shared" si="7"/>
        <v>#DIV/0!</v>
      </c>
      <c r="O20" s="709" t="e">
        <f t="shared" si="7"/>
        <v>#DIV/0!</v>
      </c>
      <c r="P20" s="514"/>
      <c r="Q20" s="519"/>
      <c r="R20" s="520">
        <f t="shared" si="2"/>
        <v>0</v>
      </c>
      <c r="S20" s="520">
        <f t="shared" si="6"/>
        <v>0</v>
      </c>
      <c r="T20" s="520">
        <f t="shared" si="5"/>
        <v>0</v>
      </c>
      <c r="U20" s="521">
        <f>IFERROR(I20/H20-1,0)</f>
        <v>0</v>
      </c>
      <c r="W20" s="536"/>
    </row>
    <row r="21" spans="1:23" s="279" customFormat="1" ht="11.25" customHeight="1" x14ac:dyDescent="0.2">
      <c r="B21" s="280"/>
      <c r="C21" s="232" t="s">
        <v>844</v>
      </c>
      <c r="D21" s="232" t="s">
        <v>845</v>
      </c>
      <c r="E21" s="233">
        <f>IFERROR(E20/E12,0)</f>
        <v>0</v>
      </c>
      <c r="F21" s="233">
        <f>IFERROR(F20/F12,0)</f>
        <v>0</v>
      </c>
      <c r="G21" s="233">
        <f>IFERROR(G20/G12,0)</f>
        <v>0</v>
      </c>
      <c r="H21" s="233">
        <f>IFERROR(H20/H12,0)</f>
        <v>0</v>
      </c>
      <c r="I21" s="234">
        <f>IFERROR(I20/I12,0)</f>
        <v>0</v>
      </c>
      <c r="J21" s="171"/>
      <c r="K21" s="522"/>
      <c r="L21" s="523"/>
      <c r="M21" s="523"/>
      <c r="N21" s="523"/>
      <c r="O21" s="524"/>
      <c r="P21" s="525"/>
      <c r="Q21" s="522"/>
      <c r="R21" s="523"/>
      <c r="S21" s="523"/>
      <c r="T21" s="523"/>
      <c r="U21" s="524"/>
      <c r="W21" s="537"/>
    </row>
    <row r="22" spans="1:23" s="279" customFormat="1" ht="11.25" customHeight="1" x14ac:dyDescent="0.2">
      <c r="B22" s="280"/>
      <c r="C22" s="232"/>
      <c r="D22" s="232"/>
      <c r="E22" s="233"/>
      <c r="F22" s="233"/>
      <c r="G22" s="233"/>
      <c r="H22" s="233"/>
      <c r="I22" s="234"/>
      <c r="J22" s="171"/>
      <c r="K22" s="522"/>
      <c r="L22" s="523"/>
      <c r="M22" s="523"/>
      <c r="N22" s="523"/>
      <c r="O22" s="524"/>
      <c r="P22" s="525"/>
      <c r="Q22" s="522"/>
      <c r="R22" s="523"/>
      <c r="S22" s="523"/>
      <c r="T22" s="523"/>
      <c r="U22" s="524"/>
      <c r="W22" s="537"/>
    </row>
    <row r="23" spans="1:23" ht="11.25" customHeight="1" x14ac:dyDescent="0.2">
      <c r="B23" s="274"/>
      <c r="C23" s="118" t="s">
        <v>796</v>
      </c>
      <c r="D23" s="118" t="s">
        <v>626</v>
      </c>
      <c r="E23" s="123"/>
      <c r="F23" s="123"/>
      <c r="G23" s="123"/>
      <c r="H23" s="123"/>
      <c r="I23" s="124"/>
      <c r="J23" s="86"/>
      <c r="K23" s="517"/>
      <c r="L23" s="725"/>
      <c r="M23" s="725"/>
      <c r="N23" s="725"/>
      <c r="O23" s="518"/>
      <c r="P23" s="510"/>
      <c r="Q23" s="517"/>
      <c r="R23" s="508"/>
      <c r="S23" s="508"/>
      <c r="T23" s="508"/>
      <c r="U23" s="509"/>
      <c r="W23" s="535"/>
    </row>
    <row r="24" spans="1:23" ht="11.25" customHeight="1" x14ac:dyDescent="0.2">
      <c r="B24" s="274">
        <v>6</v>
      </c>
      <c r="C24" s="75" t="s">
        <v>797</v>
      </c>
      <c r="D24" s="75" t="s">
        <v>53</v>
      </c>
      <c r="E24" s="194">
        <f>SUMIF('Výkaz ziskov a strát'!A:A,B24,'Výkaz ziskov a strát'!O:O)/Units</f>
        <v>0</v>
      </c>
      <c r="F24" s="194">
        <f>SUMIF('Výkaz ziskov a strát'!A:A,B24,'Výkaz ziskov a strát'!N:N)/Units</f>
        <v>0</v>
      </c>
      <c r="G24" s="194">
        <f>SUMIF('Výkaz ziskov a strát'!A:A,B24,'Výkaz ziskov a strát'!M:M)/Units</f>
        <v>0</v>
      </c>
      <c r="H24" s="194">
        <f>SUMIF('Výkaz ziskov a strát'!A:A,B24,'Výkaz ziskov a strát'!L:L)/Units</f>
        <v>0</v>
      </c>
      <c r="I24" s="195">
        <f>SUMIF('Výkaz ziskov a strát'!A:A,B24,'Výkaz ziskov a strát'!K:K)/Units</f>
        <v>0</v>
      </c>
      <c r="J24" s="86"/>
      <c r="K24" s="526" t="e">
        <f>E24/E$12</f>
        <v>#DIV/0!</v>
      </c>
      <c r="L24" s="510" t="e">
        <f t="shared" ref="L24:O33" si="10">F24/F$12</f>
        <v>#DIV/0!</v>
      </c>
      <c r="M24" s="510" t="e">
        <f>G24/G$12</f>
        <v>#DIV/0!</v>
      </c>
      <c r="N24" s="510" t="e">
        <f t="shared" si="10"/>
        <v>#DIV/0!</v>
      </c>
      <c r="O24" s="527" t="e">
        <f t="shared" si="10"/>
        <v>#DIV/0!</v>
      </c>
      <c r="P24" s="510"/>
      <c r="Q24" s="526"/>
      <c r="R24" s="508">
        <f>IFERROR(F24/E24-1,0)</f>
        <v>0</v>
      </c>
      <c r="S24" s="508">
        <f t="shared" ref="S24:U33" si="11">IFERROR(G24/F24-1,0)</f>
        <v>0</v>
      </c>
      <c r="T24" s="1081">
        <f t="shared" si="11"/>
        <v>0</v>
      </c>
      <c r="U24" s="509">
        <f t="shared" si="11"/>
        <v>0</v>
      </c>
      <c r="W24" s="536"/>
    </row>
    <row r="25" spans="1:23" ht="11.25" customHeight="1" x14ac:dyDescent="0.2">
      <c r="B25" s="274">
        <v>8</v>
      </c>
      <c r="C25" s="75" t="s">
        <v>27</v>
      </c>
      <c r="D25" s="75" t="s">
        <v>59</v>
      </c>
      <c r="E25" s="194">
        <f>SUMIF('Výkaz ziskov a strát'!A:A,B25,'Výkaz ziskov a strát'!O:O)/Units</f>
        <v>0</v>
      </c>
      <c r="F25" s="194">
        <f>SUMIF('Výkaz ziskov a strát'!A:A,B25,'Výkaz ziskov a strát'!N:N)/Units</f>
        <v>0</v>
      </c>
      <c r="G25" s="194">
        <f>SUMIF('Výkaz ziskov a strát'!A:A,B25,'Výkaz ziskov a strát'!M:M)/Units</f>
        <v>0</v>
      </c>
      <c r="H25" s="194">
        <f>SUMIF('Výkaz ziskov a strát'!A:A,B25,'Výkaz ziskov a strát'!L:L)/Units</f>
        <v>0</v>
      </c>
      <c r="I25" s="195">
        <f>SUMIF('Výkaz ziskov a strát'!A:A,B25,'Výkaz ziskov a strát'!K:K)/Units</f>
        <v>0</v>
      </c>
      <c r="J25" s="86"/>
      <c r="K25" s="526" t="e">
        <f t="shared" ref="K25:K32" si="12">E25/E$12</f>
        <v>#DIV/0!</v>
      </c>
      <c r="L25" s="510" t="e">
        <f t="shared" si="10"/>
        <v>#DIV/0!</v>
      </c>
      <c r="M25" s="510" t="e">
        <f t="shared" si="10"/>
        <v>#DIV/0!</v>
      </c>
      <c r="N25" s="510" t="e">
        <f t="shared" si="10"/>
        <v>#DIV/0!</v>
      </c>
      <c r="O25" s="527" t="e">
        <f t="shared" si="10"/>
        <v>#DIV/0!</v>
      </c>
      <c r="P25" s="510"/>
      <c r="Q25" s="507"/>
      <c r="R25" s="508">
        <f t="shared" ref="R25:R33" si="13">IFERROR(F25/E25-1,0)</f>
        <v>0</v>
      </c>
      <c r="S25" s="508">
        <f t="shared" si="11"/>
        <v>0</v>
      </c>
      <c r="T25" s="508">
        <f t="shared" si="11"/>
        <v>0</v>
      </c>
      <c r="U25" s="509">
        <f t="shared" si="11"/>
        <v>0</v>
      </c>
      <c r="W25" s="535"/>
    </row>
    <row r="26" spans="1:23" ht="11.25" customHeight="1" x14ac:dyDescent="0.2">
      <c r="B26" s="274">
        <v>10</v>
      </c>
      <c r="C26" s="119" t="s">
        <v>28</v>
      </c>
      <c r="D26" s="119" t="s">
        <v>68</v>
      </c>
      <c r="E26" s="194">
        <f>SUMIF('Výkaz ziskov a strát'!A:A,B26,'Výkaz ziskov a strát'!O:O)/Units</f>
        <v>0</v>
      </c>
      <c r="F26" s="194">
        <f>SUMIF('Výkaz ziskov a strát'!A:A,B26,'Výkaz ziskov a strát'!N:N)/Units</f>
        <v>0</v>
      </c>
      <c r="G26" s="194">
        <f>SUMIF('Výkaz ziskov a strát'!A:A,B26,'Výkaz ziskov a strát'!M:M)/Units</f>
        <v>0</v>
      </c>
      <c r="H26" s="194">
        <f>SUMIF('Výkaz ziskov a strát'!A:A,B26,'Výkaz ziskov a strát'!L:L)/Units</f>
        <v>0</v>
      </c>
      <c r="I26" s="195">
        <f>SUMIF('Výkaz ziskov a strát'!A:A,B26,'Výkaz ziskov a strát'!K:K)/Units</f>
        <v>0</v>
      </c>
      <c r="J26" s="86"/>
      <c r="K26" s="526" t="e">
        <f t="shared" si="12"/>
        <v>#DIV/0!</v>
      </c>
      <c r="L26" s="510" t="e">
        <f t="shared" si="10"/>
        <v>#DIV/0!</v>
      </c>
      <c r="M26" s="510" t="e">
        <f t="shared" si="10"/>
        <v>#DIV/0!</v>
      </c>
      <c r="N26" s="510" t="e">
        <f t="shared" si="10"/>
        <v>#DIV/0!</v>
      </c>
      <c r="O26" s="527" t="e">
        <f t="shared" si="10"/>
        <v>#DIV/0!</v>
      </c>
      <c r="P26" s="510"/>
      <c r="Q26" s="507"/>
      <c r="R26" s="508">
        <f t="shared" si="13"/>
        <v>0</v>
      </c>
      <c r="S26" s="508">
        <f t="shared" si="11"/>
        <v>0</v>
      </c>
      <c r="T26" s="508">
        <f t="shared" si="11"/>
        <v>0</v>
      </c>
      <c r="U26" s="509">
        <f t="shared" si="11"/>
        <v>0</v>
      </c>
      <c r="W26" s="535"/>
    </row>
    <row r="27" spans="1:23" ht="11.25" customHeight="1" x14ac:dyDescent="0.2">
      <c r="B27" s="274">
        <v>12</v>
      </c>
      <c r="C27" s="119" t="s">
        <v>798</v>
      </c>
      <c r="D27" s="119" t="s">
        <v>627</v>
      </c>
      <c r="E27" s="194">
        <f>SUMIF('Výkaz ziskov a strát'!A:A,B27,'Výkaz ziskov a strát'!O:O)/Units</f>
        <v>0</v>
      </c>
      <c r="F27" s="194">
        <f>SUMIF('Výkaz ziskov a strát'!A:A,B27,'Výkaz ziskov a strát'!N:N)/Units</f>
        <v>0</v>
      </c>
      <c r="G27" s="194">
        <f>SUMIF('Výkaz ziskov a strát'!A:A,B27,'Výkaz ziskov a strát'!M:M)/Units</f>
        <v>0</v>
      </c>
      <c r="H27" s="194">
        <f>SUMIF('Výkaz ziskov a strát'!A:A,B27,'Výkaz ziskov a strát'!L:L)/Units</f>
        <v>0</v>
      </c>
      <c r="I27" s="195">
        <f>SUMIF('Výkaz ziskov a strát'!A:A,B27,'Výkaz ziskov a strát'!K:K)/Units</f>
        <v>0</v>
      </c>
      <c r="J27" s="86"/>
      <c r="K27" s="526" t="e">
        <f t="shared" si="12"/>
        <v>#DIV/0!</v>
      </c>
      <c r="L27" s="510" t="e">
        <f t="shared" si="10"/>
        <v>#DIV/0!</v>
      </c>
      <c r="M27" s="510" t="e">
        <f>G27/G$12</f>
        <v>#DIV/0!</v>
      </c>
      <c r="N27" s="510" t="e">
        <f t="shared" si="10"/>
        <v>#DIV/0!</v>
      </c>
      <c r="O27" s="527" t="e">
        <f t="shared" si="10"/>
        <v>#DIV/0!</v>
      </c>
      <c r="P27" s="510"/>
      <c r="Q27" s="507"/>
      <c r="R27" s="508">
        <f t="shared" si="13"/>
        <v>0</v>
      </c>
      <c r="S27" s="508">
        <f t="shared" si="11"/>
        <v>0</v>
      </c>
      <c r="T27" s="508">
        <f t="shared" si="11"/>
        <v>0</v>
      </c>
      <c r="U27" s="509">
        <f>IFERROR(I27/H27-1,0)</f>
        <v>0</v>
      </c>
      <c r="W27" s="535"/>
    </row>
    <row r="28" spans="1:23" ht="11.25" customHeight="1" x14ac:dyDescent="0.2">
      <c r="B28" s="274">
        <v>13</v>
      </c>
      <c r="C28" s="119" t="s">
        <v>799</v>
      </c>
      <c r="D28" s="119" t="s">
        <v>628</v>
      </c>
      <c r="E28" s="194">
        <f>SUMIF('Výkaz ziskov a strát'!A:A,B28,'Výkaz ziskov a strát'!O:O)/Units</f>
        <v>0</v>
      </c>
      <c r="F28" s="194">
        <f>SUMIF('Výkaz ziskov a strát'!A:A,B28,'Výkaz ziskov a strát'!N:N)/Units</f>
        <v>0</v>
      </c>
      <c r="G28" s="194">
        <f>SUMIF('Výkaz ziskov a strát'!A:A,B28,'Výkaz ziskov a strát'!M:M)/Units</f>
        <v>0</v>
      </c>
      <c r="H28" s="194">
        <f>SUMIF('Výkaz ziskov a strát'!A:A,B28,'Výkaz ziskov a strát'!L:L)/Units</f>
        <v>0</v>
      </c>
      <c r="I28" s="195">
        <f>SUMIF('Výkaz ziskov a strát'!A:A,B28,'Výkaz ziskov a strát'!K:K)/Units</f>
        <v>0</v>
      </c>
      <c r="J28" s="86"/>
      <c r="K28" s="526" t="e">
        <f t="shared" si="12"/>
        <v>#DIV/0!</v>
      </c>
      <c r="L28" s="510" t="e">
        <f t="shared" si="10"/>
        <v>#DIV/0!</v>
      </c>
      <c r="M28" s="510" t="e">
        <f t="shared" si="10"/>
        <v>#DIV/0!</v>
      </c>
      <c r="N28" s="510" t="e">
        <f t="shared" si="10"/>
        <v>#DIV/0!</v>
      </c>
      <c r="O28" s="527" t="e">
        <f t="shared" si="10"/>
        <v>#DIV/0!</v>
      </c>
      <c r="P28" s="510"/>
      <c r="Q28" s="507"/>
      <c r="R28" s="508">
        <f t="shared" si="13"/>
        <v>0</v>
      </c>
      <c r="S28" s="508">
        <f t="shared" si="11"/>
        <v>0</v>
      </c>
      <c r="T28" s="508">
        <f t="shared" si="11"/>
        <v>0</v>
      </c>
      <c r="U28" s="709">
        <f>IFERROR(I28/H28-1,0)</f>
        <v>0</v>
      </c>
      <c r="W28" s="535"/>
    </row>
    <row r="29" spans="1:23" ht="11.25" customHeight="1" x14ac:dyDescent="0.2">
      <c r="B29" s="274">
        <v>14</v>
      </c>
      <c r="C29" s="119" t="s">
        <v>800</v>
      </c>
      <c r="D29" s="119" t="s">
        <v>629</v>
      </c>
      <c r="E29" s="194">
        <f>SUMIF('Výkaz ziskov a strát'!A:A,B29,'Výkaz ziskov a strát'!O:O)/Units</f>
        <v>0</v>
      </c>
      <c r="F29" s="194">
        <f>SUMIF('Výkaz ziskov a strát'!A:A,B29,'Výkaz ziskov a strát'!N:N)/Units</f>
        <v>0</v>
      </c>
      <c r="G29" s="194">
        <f>SUMIF('Výkaz ziskov a strát'!A:A,B29,'Výkaz ziskov a strát'!M:M)/Units</f>
        <v>0</v>
      </c>
      <c r="H29" s="194">
        <f>SUMIF('Výkaz ziskov a strát'!A:A,B29,'Výkaz ziskov a strát'!L:L)/Units</f>
        <v>0</v>
      </c>
      <c r="I29" s="195">
        <f>SUMIF('Výkaz ziskov a strát'!A:A,B29,'Výkaz ziskov a strát'!K:K)/Units</f>
        <v>0</v>
      </c>
      <c r="J29" s="86"/>
      <c r="K29" s="526" t="e">
        <f t="shared" si="12"/>
        <v>#DIV/0!</v>
      </c>
      <c r="L29" s="510" t="e">
        <f t="shared" si="10"/>
        <v>#DIV/0!</v>
      </c>
      <c r="M29" s="510" t="e">
        <f t="shared" si="10"/>
        <v>#DIV/0!</v>
      </c>
      <c r="N29" s="510" t="e">
        <f t="shared" si="10"/>
        <v>#DIV/0!</v>
      </c>
      <c r="O29" s="527" t="e">
        <f t="shared" si="10"/>
        <v>#DIV/0!</v>
      </c>
      <c r="P29" s="510"/>
      <c r="Q29" s="507"/>
      <c r="R29" s="508">
        <f t="shared" si="13"/>
        <v>0</v>
      </c>
      <c r="S29" s="508">
        <f t="shared" si="11"/>
        <v>0</v>
      </c>
      <c r="T29" s="508">
        <f t="shared" si="11"/>
        <v>0</v>
      </c>
      <c r="U29" s="709">
        <f t="shared" si="11"/>
        <v>0</v>
      </c>
      <c r="W29" s="535"/>
    </row>
    <row r="30" spans="1:23" ht="11.25" customHeight="1" x14ac:dyDescent="0.2">
      <c r="B30" s="274">
        <v>16</v>
      </c>
      <c r="C30" s="119" t="s">
        <v>846</v>
      </c>
      <c r="D30" s="119" t="s">
        <v>77</v>
      </c>
      <c r="E30" s="194">
        <f>SUMIF('Výkaz ziskov a strát'!A:A,B30,'Výkaz ziskov a strát'!O:O)/Units</f>
        <v>0</v>
      </c>
      <c r="F30" s="194">
        <f>SUMIF('Výkaz ziskov a strát'!A:A,B30,'Výkaz ziskov a strát'!N:N)/Units</f>
        <v>0</v>
      </c>
      <c r="G30" s="194">
        <f>SUMIF('Výkaz ziskov a strát'!A:A,B30,'Výkaz ziskov a strát'!M:M)/Units</f>
        <v>0</v>
      </c>
      <c r="H30" s="194">
        <f>SUMIF('Výkaz ziskov a strát'!A:A,B30,'Výkaz ziskov a strát'!L:L)/Units</f>
        <v>0</v>
      </c>
      <c r="I30" s="195">
        <f>SUMIF('Výkaz ziskov a strát'!A:A,B30,'Výkaz ziskov a strát'!K:K)/Units</f>
        <v>0</v>
      </c>
      <c r="J30" s="86"/>
      <c r="K30" s="526" t="e">
        <f t="shared" si="12"/>
        <v>#DIV/0!</v>
      </c>
      <c r="L30" s="510" t="e">
        <f t="shared" si="10"/>
        <v>#DIV/0!</v>
      </c>
      <c r="M30" s="510" t="e">
        <f t="shared" si="10"/>
        <v>#DIV/0!</v>
      </c>
      <c r="N30" s="510" t="e">
        <f t="shared" si="10"/>
        <v>#DIV/0!</v>
      </c>
      <c r="O30" s="527" t="e">
        <f t="shared" si="10"/>
        <v>#DIV/0!</v>
      </c>
      <c r="P30" s="510"/>
      <c r="Q30" s="507"/>
      <c r="R30" s="508">
        <f t="shared" si="13"/>
        <v>0</v>
      </c>
      <c r="S30" s="508">
        <f t="shared" si="11"/>
        <v>0</v>
      </c>
      <c r="T30" s="508">
        <f t="shared" si="11"/>
        <v>0</v>
      </c>
      <c r="U30" s="509">
        <f t="shared" si="11"/>
        <v>0</v>
      </c>
      <c r="W30" s="535"/>
    </row>
    <row r="31" spans="1:23" ht="11.25" customHeight="1" x14ac:dyDescent="0.2">
      <c r="B31" s="274">
        <v>17</v>
      </c>
      <c r="C31" s="119" t="s">
        <v>847</v>
      </c>
      <c r="D31" s="119" t="s">
        <v>630</v>
      </c>
      <c r="E31" s="206">
        <f>SUMIF('Výkaz ziskov a strát'!A:A,B31,'Výkaz ziskov a strát'!O:O)/Units</f>
        <v>0</v>
      </c>
      <c r="F31" s="206">
        <f>SUMIF('Výkaz ziskov a strát'!A:A,B31,'Výkaz ziskov a strát'!N:N)/Units</f>
        <v>0</v>
      </c>
      <c r="G31" s="206">
        <f>SUMIF('Výkaz ziskov a strát'!A:A,B31,'Výkaz ziskov a strát'!M:M)/Units</f>
        <v>0</v>
      </c>
      <c r="H31" s="206">
        <f>SUMIF('Výkaz ziskov a strát'!A:A,B31,'Výkaz ziskov a strát'!L:L)/Units</f>
        <v>0</v>
      </c>
      <c r="I31" s="207">
        <f>SUMIF('Výkaz ziskov a strát'!A:A,B31,'Výkaz ziskov a strát'!K:K)/Units</f>
        <v>0</v>
      </c>
      <c r="J31" s="122"/>
      <c r="K31" s="705" t="e">
        <f t="shared" si="12"/>
        <v>#DIV/0!</v>
      </c>
      <c r="L31" s="701" t="e">
        <f t="shared" si="10"/>
        <v>#DIV/0!</v>
      </c>
      <c r="M31" s="701" t="e">
        <f t="shared" si="10"/>
        <v>#DIV/0!</v>
      </c>
      <c r="N31" s="701" t="e">
        <f t="shared" si="10"/>
        <v>#DIV/0!</v>
      </c>
      <c r="O31" s="703" t="e">
        <f t="shared" si="10"/>
        <v>#DIV/0!</v>
      </c>
      <c r="P31" s="510"/>
      <c r="Q31" s="718"/>
      <c r="R31" s="711">
        <f t="shared" si="13"/>
        <v>0</v>
      </c>
      <c r="S31" s="711">
        <f t="shared" si="11"/>
        <v>0</v>
      </c>
      <c r="T31" s="711">
        <f t="shared" si="11"/>
        <v>0</v>
      </c>
      <c r="U31" s="719">
        <f t="shared" si="11"/>
        <v>0</v>
      </c>
      <c r="W31" s="535"/>
    </row>
    <row r="32" spans="1:23" s="3" customFormat="1" ht="11.25" customHeight="1" x14ac:dyDescent="0.2">
      <c r="A32" s="278"/>
      <c r="B32" s="277"/>
      <c r="C32" s="147"/>
      <c r="D32" s="147"/>
      <c r="E32" s="120">
        <f>SUM(E24:E31)</f>
        <v>0</v>
      </c>
      <c r="F32" s="120">
        <f>SUM(F24:F31)</f>
        <v>0</v>
      </c>
      <c r="G32" s="120">
        <f>SUM(G24:G31)</f>
        <v>0</v>
      </c>
      <c r="H32" s="120">
        <f>SUM(H24:H31)</f>
        <v>0</v>
      </c>
      <c r="I32" s="121">
        <f>SUM(I24:I31)</f>
        <v>0</v>
      </c>
      <c r="J32" s="235"/>
      <c r="K32" s="706" t="e">
        <f t="shared" si="12"/>
        <v>#DIV/0!</v>
      </c>
      <c r="L32" s="702" t="e">
        <f t="shared" si="10"/>
        <v>#DIV/0!</v>
      </c>
      <c r="M32" s="702" t="e">
        <f t="shared" si="10"/>
        <v>#DIV/0!</v>
      </c>
      <c r="N32" s="702" t="e">
        <f t="shared" si="10"/>
        <v>#DIV/0!</v>
      </c>
      <c r="O32" s="704" t="e">
        <f t="shared" si="10"/>
        <v>#DIV/0!</v>
      </c>
      <c r="P32" s="514"/>
      <c r="Q32" s="738"/>
      <c r="R32" s="723">
        <f t="shared" si="13"/>
        <v>0</v>
      </c>
      <c r="S32" s="723">
        <f t="shared" si="11"/>
        <v>0</v>
      </c>
      <c r="T32" s="723">
        <f t="shared" si="11"/>
        <v>0</v>
      </c>
      <c r="U32" s="724">
        <f t="shared" si="11"/>
        <v>0</v>
      </c>
      <c r="W32" s="536"/>
    </row>
    <row r="33" spans="1:23" ht="11.25" customHeight="1" x14ac:dyDescent="0.2">
      <c r="A33" s="273"/>
      <c r="B33" s="274"/>
      <c r="C33" s="125" t="s">
        <v>1</v>
      </c>
      <c r="D33" s="125" t="s">
        <v>1</v>
      </c>
      <c r="E33" s="198">
        <f>E32+E20</f>
        <v>0</v>
      </c>
      <c r="F33" s="198">
        <f>F32+F20</f>
        <v>0</v>
      </c>
      <c r="G33" s="198">
        <f>G32+G20</f>
        <v>0</v>
      </c>
      <c r="H33" s="198">
        <f>H32+H20</f>
        <v>0</v>
      </c>
      <c r="I33" s="199">
        <f>I32+I20</f>
        <v>0</v>
      </c>
      <c r="J33" s="122"/>
      <c r="K33" s="511" t="e">
        <f>E33/E$12</f>
        <v>#DIV/0!</v>
      </c>
      <c r="L33" s="512" t="e">
        <f t="shared" si="10"/>
        <v>#DIV/0!</v>
      </c>
      <c r="M33" s="512" t="e">
        <f t="shared" si="10"/>
        <v>#DIV/0!</v>
      </c>
      <c r="N33" s="512" t="e">
        <f t="shared" si="10"/>
        <v>#DIV/0!</v>
      </c>
      <c r="O33" s="513" t="e">
        <f t="shared" si="10"/>
        <v>#DIV/0!</v>
      </c>
      <c r="P33" s="510"/>
      <c r="Q33" s="519"/>
      <c r="R33" s="520">
        <f t="shared" si="13"/>
        <v>0</v>
      </c>
      <c r="S33" s="520">
        <f t="shared" si="11"/>
        <v>0</v>
      </c>
      <c r="T33" s="520">
        <f t="shared" si="11"/>
        <v>0</v>
      </c>
      <c r="U33" s="521">
        <f t="shared" si="11"/>
        <v>0</v>
      </c>
      <c r="W33" s="535"/>
    </row>
    <row r="34" spans="1:23" s="279" customFormat="1" ht="11.25" customHeight="1" x14ac:dyDescent="0.2">
      <c r="A34" s="281"/>
      <c r="B34" s="280"/>
      <c r="C34" s="236" t="s">
        <v>848</v>
      </c>
      <c r="D34" s="236" t="s">
        <v>849</v>
      </c>
      <c r="E34" s="123">
        <f>IFERROR(E33/E12,0)</f>
        <v>0</v>
      </c>
      <c r="F34" s="123">
        <f>IFERROR(F33/F12,0)</f>
        <v>0</v>
      </c>
      <c r="G34" s="123">
        <f>IFERROR(G33/G12,0)</f>
        <v>0</v>
      </c>
      <c r="H34" s="123">
        <f>IFERROR(H33/H12,0)</f>
        <v>0</v>
      </c>
      <c r="I34" s="124">
        <f>IFERROR(I33/I12,0)</f>
        <v>0</v>
      </c>
      <c r="J34" s="171"/>
      <c r="K34" s="528"/>
      <c r="L34" s="726"/>
      <c r="M34" s="726"/>
      <c r="N34" s="726"/>
      <c r="O34" s="529"/>
      <c r="P34" s="525"/>
      <c r="Q34" s="528"/>
      <c r="R34" s="739"/>
      <c r="S34" s="739"/>
      <c r="T34" s="739"/>
      <c r="U34" s="695"/>
      <c r="W34" s="537"/>
    </row>
    <row r="35" spans="1:23" s="279" customFormat="1" ht="11.25" customHeight="1" x14ac:dyDescent="0.2">
      <c r="A35" s="281"/>
      <c r="B35" s="280"/>
      <c r="C35" s="236"/>
      <c r="D35" s="236"/>
      <c r="E35" s="123"/>
      <c r="F35" s="123"/>
      <c r="G35" s="123"/>
      <c r="H35" s="123"/>
      <c r="I35" s="124"/>
      <c r="J35" s="171"/>
      <c r="K35" s="528"/>
      <c r="L35" s="726"/>
      <c r="M35" s="726"/>
      <c r="N35" s="726"/>
      <c r="O35" s="529"/>
      <c r="P35" s="525"/>
      <c r="Q35" s="528"/>
      <c r="R35" s="739"/>
      <c r="S35" s="739"/>
      <c r="T35" s="739"/>
      <c r="U35" s="695"/>
      <c r="W35" s="537"/>
    </row>
    <row r="36" spans="1:23" ht="11.25" customHeight="1" x14ac:dyDescent="0.2">
      <c r="A36" s="273"/>
      <c r="B36" s="274">
        <v>23</v>
      </c>
      <c r="C36" s="119" t="s">
        <v>802</v>
      </c>
      <c r="D36" s="119" t="s">
        <v>631</v>
      </c>
      <c r="E36" s="194">
        <f>SUMIF('Výkaz ziskov a strát'!A:A,B36,'Výkaz ziskov a strát'!O:O)/Units</f>
        <v>0</v>
      </c>
      <c r="F36" s="194">
        <f>SUMIF('Výkaz ziskov a strát'!A:A,B36,'Výkaz ziskov a strát'!N:N)/Units</f>
        <v>0</v>
      </c>
      <c r="G36" s="194">
        <f>SUMIF('Výkaz ziskov a strát'!A:A,B36,'Výkaz ziskov a strát'!M:M)/Units</f>
        <v>0</v>
      </c>
      <c r="H36" s="194">
        <f>SUMIF('Výkaz ziskov a strát'!A:A,B36,'Výkaz ziskov a strát'!L:L)/Units</f>
        <v>0</v>
      </c>
      <c r="I36" s="195">
        <f>SUMIF('Výkaz ziskov a strát'!A:A,B36,'Výkaz ziskov a strát'!K:K)/Units</f>
        <v>0</v>
      </c>
      <c r="J36" s="86"/>
      <c r="K36" s="507" t="e">
        <f>E36/E$12</f>
        <v>#DIV/0!</v>
      </c>
      <c r="L36" s="508" t="e">
        <f t="shared" ref="L36:O43" si="14">F36/F$12</f>
        <v>#DIV/0!</v>
      </c>
      <c r="M36" s="508" t="e">
        <f t="shared" si="14"/>
        <v>#DIV/0!</v>
      </c>
      <c r="N36" s="508" t="e">
        <f t="shared" si="14"/>
        <v>#DIV/0!</v>
      </c>
      <c r="O36" s="509" t="e">
        <f t="shared" si="14"/>
        <v>#DIV/0!</v>
      </c>
      <c r="P36" s="510"/>
      <c r="Q36" s="507"/>
      <c r="R36" s="508">
        <f>IFERROR(F36/E36-1,0)</f>
        <v>0</v>
      </c>
      <c r="S36" s="508">
        <f t="shared" ref="S36:U36" si="15">IFERROR(G36/F36-1,0)</f>
        <v>0</v>
      </c>
      <c r="T36" s="508">
        <f t="shared" si="15"/>
        <v>0</v>
      </c>
      <c r="U36" s="509">
        <f t="shared" si="15"/>
        <v>0</v>
      </c>
      <c r="W36" s="535"/>
    </row>
    <row r="37" spans="1:23" ht="11.25" customHeight="1" x14ac:dyDescent="0.2">
      <c r="B37" s="274">
        <v>20</v>
      </c>
      <c r="C37" s="119" t="s">
        <v>31</v>
      </c>
      <c r="D37" s="119" t="s">
        <v>79</v>
      </c>
      <c r="E37" s="194">
        <f>SUMIF('Výkaz ziskov a strát'!A:A,B37,'Výkaz ziskov a strát'!O:O)/Units</f>
        <v>0</v>
      </c>
      <c r="F37" s="194">
        <f>SUMIF('Výkaz ziskov a strát'!A:A,B37,'Výkaz ziskov a strát'!N:N)/Units</f>
        <v>0</v>
      </c>
      <c r="G37" s="194">
        <f>SUMIF('Výkaz ziskov a strát'!A:A,B37,'Výkaz ziskov a strát'!M:M)/Units</f>
        <v>0</v>
      </c>
      <c r="H37" s="194">
        <f>SUMIF('Výkaz ziskov a strát'!A:A,B37,'Výkaz ziskov a strát'!L:L)/Units</f>
        <v>0</v>
      </c>
      <c r="I37" s="195">
        <f>SUMIF('Výkaz ziskov a strát'!A:A,B37,'Výkaz ziskov a strát'!K:K)/Units</f>
        <v>0</v>
      </c>
      <c r="J37" s="86"/>
      <c r="K37" s="718" t="e">
        <f t="shared" ref="K37:K43" si="16">E37/E$12</f>
        <v>#DIV/0!</v>
      </c>
      <c r="L37" s="711" t="e">
        <f t="shared" si="14"/>
        <v>#DIV/0!</v>
      </c>
      <c r="M37" s="711" t="e">
        <f t="shared" si="14"/>
        <v>#DIV/0!</v>
      </c>
      <c r="N37" s="711" t="e">
        <f t="shared" si="14"/>
        <v>#DIV/0!</v>
      </c>
      <c r="O37" s="719" t="e">
        <f t="shared" si="14"/>
        <v>#DIV/0!</v>
      </c>
      <c r="P37" s="510"/>
      <c r="Q37" s="718"/>
      <c r="R37" s="711">
        <f t="shared" ref="R37:R43" si="17">IFERROR(F37/E37-1,0)</f>
        <v>0</v>
      </c>
      <c r="S37" s="711">
        <f t="shared" ref="S37:S43" si="18">IFERROR(G37/F37-1,0)</f>
        <v>0</v>
      </c>
      <c r="T37" s="711">
        <f t="shared" ref="T37:T43" si="19">IFERROR(H37/G37-1,0)</f>
        <v>0</v>
      </c>
      <c r="U37" s="719">
        <f t="shared" ref="U37:U43" si="20">IFERROR(I37/H37-1,0)</f>
        <v>0</v>
      </c>
      <c r="W37" s="535"/>
    </row>
    <row r="38" spans="1:23" ht="11.25" customHeight="1" x14ac:dyDescent="0.2">
      <c r="B38" s="274"/>
      <c r="C38" s="125" t="s">
        <v>32</v>
      </c>
      <c r="D38" s="125" t="s">
        <v>32</v>
      </c>
      <c r="E38" s="198">
        <f>E33+E37+E36</f>
        <v>0</v>
      </c>
      <c r="F38" s="198">
        <f>F33+F37+F36</f>
        <v>0</v>
      </c>
      <c r="G38" s="198">
        <f>G33+G37+G36</f>
        <v>0</v>
      </c>
      <c r="H38" s="198">
        <f>H33+H37+H36</f>
        <v>0</v>
      </c>
      <c r="I38" s="199">
        <f>I33+I37+I36</f>
        <v>0</v>
      </c>
      <c r="J38" s="126"/>
      <c r="K38" s="519" t="e">
        <f t="shared" si="16"/>
        <v>#DIV/0!</v>
      </c>
      <c r="L38" s="520" t="e">
        <f t="shared" si="14"/>
        <v>#DIV/0!</v>
      </c>
      <c r="M38" s="520" t="e">
        <f t="shared" si="14"/>
        <v>#DIV/0!</v>
      </c>
      <c r="N38" s="520" t="e">
        <f t="shared" si="14"/>
        <v>#DIV/0!</v>
      </c>
      <c r="O38" s="521" t="e">
        <f t="shared" si="14"/>
        <v>#DIV/0!</v>
      </c>
      <c r="P38" s="514"/>
      <c r="Q38" s="519"/>
      <c r="R38" s="727">
        <f t="shared" si="17"/>
        <v>0</v>
      </c>
      <c r="S38" s="727">
        <f t="shared" si="18"/>
        <v>0</v>
      </c>
      <c r="T38" s="727">
        <f t="shared" si="19"/>
        <v>0</v>
      </c>
      <c r="U38" s="728">
        <f t="shared" si="20"/>
        <v>0</v>
      </c>
      <c r="W38" s="536"/>
    </row>
    <row r="39" spans="1:23" ht="11.25" customHeight="1" x14ac:dyDescent="0.2">
      <c r="B39" s="274">
        <v>21</v>
      </c>
      <c r="C39" s="119" t="s">
        <v>33</v>
      </c>
      <c r="D39" s="119" t="s">
        <v>632</v>
      </c>
      <c r="E39" s="194">
        <f>SUMIF('Výkaz ziskov a strát'!A:A,B39,'Výkaz ziskov a strát'!O:O)/Units</f>
        <v>0</v>
      </c>
      <c r="F39" s="194">
        <f>SUMIF('Výkaz ziskov a strát'!A:A,B39,'Výkaz ziskov a strát'!N:N)/Units</f>
        <v>0</v>
      </c>
      <c r="G39" s="194">
        <f>SUMIF('Výkaz ziskov a strát'!A:A,B39,'Výkaz ziskov a strát'!M:M)/Units</f>
        <v>0</v>
      </c>
      <c r="H39" s="194">
        <f>SUMIF('Výkaz ziskov a strát'!A:A,B39,'Výkaz ziskov a strát'!L:L)/Units</f>
        <v>0</v>
      </c>
      <c r="I39" s="195">
        <f>SUMIF('Výkaz ziskov a strát'!A:A,B39,'Výkaz ziskov a strát'!K:K)/Units</f>
        <v>0</v>
      </c>
      <c r="J39" s="86"/>
      <c r="K39" s="507" t="e">
        <f t="shared" si="16"/>
        <v>#DIV/0!</v>
      </c>
      <c r="L39" s="508" t="e">
        <f t="shared" si="14"/>
        <v>#DIV/0!</v>
      </c>
      <c r="M39" s="508" t="e">
        <f t="shared" si="14"/>
        <v>#DIV/0!</v>
      </c>
      <c r="N39" s="508" t="e">
        <f t="shared" si="14"/>
        <v>#DIV/0!</v>
      </c>
      <c r="O39" s="509" t="e">
        <f t="shared" si="14"/>
        <v>#DIV/0!</v>
      </c>
      <c r="P39" s="510"/>
      <c r="Q39" s="507"/>
      <c r="R39" s="508">
        <f t="shared" si="17"/>
        <v>0</v>
      </c>
      <c r="S39" s="508">
        <f t="shared" si="18"/>
        <v>0</v>
      </c>
      <c r="T39" s="508">
        <f t="shared" si="19"/>
        <v>0</v>
      </c>
      <c r="U39" s="509">
        <f t="shared" si="20"/>
        <v>0</v>
      </c>
      <c r="W39" s="535"/>
    </row>
    <row r="40" spans="1:23" ht="11.25" customHeight="1" x14ac:dyDescent="0.2">
      <c r="B40" s="274">
        <v>24</v>
      </c>
      <c r="C40" s="119" t="s">
        <v>803</v>
      </c>
      <c r="D40" s="119" t="s">
        <v>633</v>
      </c>
      <c r="E40" s="194">
        <f>SUMIF('Výkaz ziskov a strát'!A:A,B40,'Výkaz ziskov a strát'!O:O)/Units</f>
        <v>0</v>
      </c>
      <c r="F40" s="194">
        <f>SUMIF('Výkaz ziskov a strát'!A:A,B40,'Výkaz ziskov a strát'!N:N)/Units</f>
        <v>0</v>
      </c>
      <c r="G40" s="194">
        <f>SUMIF('Výkaz ziskov a strát'!A:A,B40,'Výkaz ziskov a strát'!M:M)/Units</f>
        <v>0</v>
      </c>
      <c r="H40" s="194">
        <f>SUMIF('Výkaz ziskov a strát'!A:A,B40,'Výkaz ziskov a strát'!L:L)/Units</f>
        <v>0</v>
      </c>
      <c r="I40" s="195">
        <f>SUMIF('Výkaz ziskov a strát'!A:A,B40,'Výkaz ziskov a strát'!K:K)/Units</f>
        <v>0</v>
      </c>
      <c r="J40" s="86"/>
      <c r="K40" s="718" t="e">
        <f t="shared" si="16"/>
        <v>#DIV/0!</v>
      </c>
      <c r="L40" s="711" t="e">
        <f t="shared" si="14"/>
        <v>#DIV/0!</v>
      </c>
      <c r="M40" s="711" t="e">
        <f t="shared" si="14"/>
        <v>#DIV/0!</v>
      </c>
      <c r="N40" s="711" t="e">
        <f t="shared" si="14"/>
        <v>#DIV/0!</v>
      </c>
      <c r="O40" s="719" t="e">
        <f t="shared" si="14"/>
        <v>#DIV/0!</v>
      </c>
      <c r="P40" s="510"/>
      <c r="Q40" s="718"/>
      <c r="R40" s="711">
        <f t="shared" si="17"/>
        <v>0</v>
      </c>
      <c r="S40" s="711">
        <f t="shared" si="18"/>
        <v>0</v>
      </c>
      <c r="T40" s="711">
        <f t="shared" si="19"/>
        <v>0</v>
      </c>
      <c r="U40" s="719">
        <f t="shared" si="20"/>
        <v>0</v>
      </c>
      <c r="W40" s="535"/>
    </row>
    <row r="41" spans="1:23" ht="11.25" customHeight="1" x14ac:dyDescent="0.2">
      <c r="B41" s="274"/>
      <c r="C41" s="125" t="s">
        <v>35</v>
      </c>
      <c r="D41" s="125" t="s">
        <v>634</v>
      </c>
      <c r="E41" s="198">
        <f>SUM(E38:E40)</f>
        <v>0</v>
      </c>
      <c r="F41" s="198">
        <f>SUM(F38:F40)</f>
        <v>0</v>
      </c>
      <c r="G41" s="198">
        <f>SUM(G38:G40)</f>
        <v>0</v>
      </c>
      <c r="H41" s="198">
        <f>SUM(H38:H40)</f>
        <v>0</v>
      </c>
      <c r="I41" s="199">
        <f>SUM(I38:I40)</f>
        <v>0</v>
      </c>
      <c r="J41" s="126"/>
      <c r="K41" s="729" t="e">
        <f t="shared" si="16"/>
        <v>#DIV/0!</v>
      </c>
      <c r="L41" s="730" t="e">
        <f t="shared" si="14"/>
        <v>#DIV/0!</v>
      </c>
      <c r="M41" s="730" t="e">
        <f t="shared" si="14"/>
        <v>#DIV/0!</v>
      </c>
      <c r="N41" s="730" t="e">
        <f t="shared" si="14"/>
        <v>#DIV/0!</v>
      </c>
      <c r="O41" s="731" t="e">
        <f t="shared" si="14"/>
        <v>#DIV/0!</v>
      </c>
      <c r="P41" s="514"/>
      <c r="Q41" s="722"/>
      <c r="R41" s="723">
        <f t="shared" si="17"/>
        <v>0</v>
      </c>
      <c r="S41" s="723">
        <f t="shared" si="18"/>
        <v>0</v>
      </c>
      <c r="T41" s="723">
        <f t="shared" si="19"/>
        <v>0</v>
      </c>
      <c r="U41" s="724">
        <f t="shared" si="20"/>
        <v>0</v>
      </c>
      <c r="W41" s="536"/>
    </row>
    <row r="42" spans="1:23" ht="11.25" customHeight="1" x14ac:dyDescent="0.2">
      <c r="B42" s="274">
        <v>25</v>
      </c>
      <c r="C42" s="119" t="s">
        <v>2</v>
      </c>
      <c r="D42" s="119" t="s">
        <v>635</v>
      </c>
      <c r="E42" s="194">
        <f>SUMIF('Výkaz ziskov a strát'!A:A,B42,'Výkaz ziskov a strát'!O:O)/Units</f>
        <v>0</v>
      </c>
      <c r="F42" s="194">
        <f>SUMIF('Výkaz ziskov a strát'!A:A,B42,'Výkaz ziskov a strát'!N:N)/Units</f>
        <v>0</v>
      </c>
      <c r="G42" s="194">
        <f>SUMIF('Výkaz ziskov a strát'!A:A,B42,'Výkaz ziskov a strát'!M:M)/Units</f>
        <v>0</v>
      </c>
      <c r="H42" s="194">
        <f>SUMIF('Výkaz ziskov a strát'!A:A,B42,'Výkaz ziskov a strát'!L:L)/Units</f>
        <v>0</v>
      </c>
      <c r="I42" s="195">
        <f>SUMIF('Výkaz ziskov a strát'!A:A,B42,'Výkaz ziskov a strát'!K:K)/Units</f>
        <v>0</v>
      </c>
      <c r="J42" s="86"/>
      <c r="K42" s="718" t="e">
        <f t="shared" si="16"/>
        <v>#DIV/0!</v>
      </c>
      <c r="L42" s="711" t="e">
        <f t="shared" si="14"/>
        <v>#DIV/0!</v>
      </c>
      <c r="M42" s="711" t="e">
        <f t="shared" si="14"/>
        <v>#DIV/0!</v>
      </c>
      <c r="N42" s="711" t="e">
        <f t="shared" si="14"/>
        <v>#DIV/0!</v>
      </c>
      <c r="O42" s="719" t="e">
        <f t="shared" si="14"/>
        <v>#DIV/0!</v>
      </c>
      <c r="P42" s="510"/>
      <c r="Q42" s="729"/>
      <c r="R42" s="730">
        <f t="shared" si="17"/>
        <v>0</v>
      </c>
      <c r="S42" s="730">
        <f t="shared" si="18"/>
        <v>0</v>
      </c>
      <c r="T42" s="730">
        <f t="shared" si="19"/>
        <v>0</v>
      </c>
      <c r="U42" s="731">
        <f t="shared" si="20"/>
        <v>0</v>
      </c>
      <c r="W42" s="535"/>
    </row>
    <row r="43" spans="1:23" ht="11.25" customHeight="1" thickBot="1" x14ac:dyDescent="0.25">
      <c r="A43" s="273"/>
      <c r="B43" s="274"/>
      <c r="C43" s="127" t="s">
        <v>804</v>
      </c>
      <c r="D43" s="127" t="s">
        <v>636</v>
      </c>
      <c r="E43" s="200">
        <f>SUM(E41:E42)</f>
        <v>0</v>
      </c>
      <c r="F43" s="200">
        <f>SUM(F41:F42)</f>
        <v>0</v>
      </c>
      <c r="G43" s="200">
        <f>SUM(G41:G42)</f>
        <v>0</v>
      </c>
      <c r="H43" s="200">
        <f>SUM(H41:H42)</f>
        <v>0</v>
      </c>
      <c r="I43" s="201">
        <f>SUM(I41:I42)</f>
        <v>0</v>
      </c>
      <c r="J43" s="122"/>
      <c r="K43" s="732" t="e">
        <f t="shared" si="16"/>
        <v>#DIV/0!</v>
      </c>
      <c r="L43" s="733" t="e">
        <f t="shared" si="14"/>
        <v>#DIV/0!</v>
      </c>
      <c r="M43" s="733" t="e">
        <f t="shared" si="14"/>
        <v>#DIV/0!</v>
      </c>
      <c r="N43" s="733" t="e">
        <f t="shared" si="14"/>
        <v>#DIV/0!</v>
      </c>
      <c r="O43" s="734" t="e">
        <f t="shared" si="14"/>
        <v>#DIV/0!</v>
      </c>
      <c r="P43" s="510"/>
      <c r="Q43" s="530"/>
      <c r="R43" s="733">
        <f t="shared" si="17"/>
        <v>0</v>
      </c>
      <c r="S43" s="733">
        <f t="shared" si="18"/>
        <v>0</v>
      </c>
      <c r="T43" s="733">
        <f t="shared" si="19"/>
        <v>0</v>
      </c>
      <c r="U43" s="734">
        <f t="shared" si="20"/>
        <v>0</v>
      </c>
      <c r="W43" s="535"/>
    </row>
    <row r="44" spans="1:23" x14ac:dyDescent="0.2"/>
    <row r="45" spans="1:23" ht="11.25" customHeight="1" x14ac:dyDescent="0.2">
      <c r="B45" s="175"/>
      <c r="C45" s="86" t="s">
        <v>590</v>
      </c>
      <c r="D45" s="86"/>
      <c r="E45" s="457">
        <f>E43-'Výkaz ziskov a strát'!J64/Units</f>
        <v>0</v>
      </c>
      <c r="F45" s="457">
        <f>F43-'Výkaz ziskov a strát'!I64/Units</f>
        <v>0</v>
      </c>
      <c r="G45" s="457">
        <f>G43-'Výkaz ziskov a strát'!H64/Units</f>
        <v>0</v>
      </c>
      <c r="H45" s="457">
        <f>H43-'Výkaz ziskov a strát'!G64/Units</f>
        <v>0</v>
      </c>
      <c r="I45" s="457">
        <f>I43-'Výkaz ziskov a strát'!F64/Units</f>
        <v>0</v>
      </c>
    </row>
    <row r="46" spans="1:23" ht="11.25" customHeight="1" x14ac:dyDescent="0.2">
      <c r="B46" s="274"/>
      <c r="C46" s="185"/>
      <c r="D46" s="185"/>
      <c r="E46" s="282"/>
      <c r="F46" s="282"/>
      <c r="G46" s="282"/>
      <c r="H46" s="282"/>
      <c r="I46" s="282"/>
    </row>
    <row r="47" spans="1:23" ht="19.149999999999999" customHeight="1" x14ac:dyDescent="0.2">
      <c r="B47" s="274"/>
      <c r="C47" s="109" t="s">
        <v>805</v>
      </c>
      <c r="D47" s="109" t="s">
        <v>643</v>
      </c>
      <c r="E47" s="110"/>
      <c r="F47" s="110"/>
      <c r="G47" s="110"/>
      <c r="H47" s="110"/>
      <c r="I47" s="111"/>
    </row>
    <row r="48" spans="1:23" ht="11.25" customHeight="1" x14ac:dyDescent="0.2">
      <c r="B48" s="274"/>
      <c r="C48" s="115" t="str">
        <f>'Detailné výkazy'!C7</f>
        <v xml:space="preserve">€  </v>
      </c>
      <c r="D48" s="115" t="str">
        <f>'Detailné výkazy'!C7</f>
        <v xml:space="preserve">€  </v>
      </c>
      <c r="E48" s="116" t="str">
        <f>E8</f>
        <v>FY19</v>
      </c>
      <c r="F48" s="116" t="str">
        <f>F8</f>
        <v>FY20</v>
      </c>
      <c r="G48" s="116" t="str">
        <f>G8</f>
        <v>FY21</v>
      </c>
      <c r="H48" s="116" t="str">
        <f>H8</f>
        <v>FY22</v>
      </c>
      <c r="I48" s="117" t="str">
        <f>I8</f>
        <v>FY23</v>
      </c>
    </row>
    <row r="49" spans="2:9" ht="11.25" customHeight="1" x14ac:dyDescent="0.2">
      <c r="B49" s="274"/>
      <c r="C49" s="128" t="s">
        <v>806</v>
      </c>
      <c r="D49" s="128" t="s">
        <v>625</v>
      </c>
      <c r="E49" s="202">
        <f>E20</f>
        <v>0</v>
      </c>
      <c r="F49" s="202">
        <f>F20</f>
        <v>0</v>
      </c>
      <c r="G49" s="202">
        <f>G20</f>
        <v>0</v>
      </c>
      <c r="H49" s="202">
        <f>H20</f>
        <v>0</v>
      </c>
      <c r="I49" s="203">
        <f>I20</f>
        <v>0</v>
      </c>
    </row>
    <row r="50" spans="2:9" ht="11.25" customHeight="1" x14ac:dyDescent="0.2">
      <c r="B50" s="274"/>
      <c r="C50" s="129" t="s">
        <v>750</v>
      </c>
      <c r="D50" s="129" t="s">
        <v>637</v>
      </c>
      <c r="E50" s="130">
        <f>IFERROR(E49/E12,0)</f>
        <v>0</v>
      </c>
      <c r="F50" s="130">
        <f>IFERROR(F49/F12,0)</f>
        <v>0</v>
      </c>
      <c r="G50" s="130">
        <f>IFERROR(G49/G12,0)</f>
        <v>0</v>
      </c>
      <c r="H50" s="130">
        <f>IFERROR(H49/H12,0)</f>
        <v>0</v>
      </c>
      <c r="I50" s="131">
        <f>IFERROR(I49/I12,0)</f>
        <v>0</v>
      </c>
    </row>
    <row r="51" spans="2:9" ht="11.25" customHeight="1" x14ac:dyDescent="0.2">
      <c r="B51" s="274"/>
      <c r="C51" s="132" t="s">
        <v>807</v>
      </c>
      <c r="D51" s="132" t="s">
        <v>638</v>
      </c>
      <c r="E51" s="194">
        <f>IF(E18&gt;0,-E18,-E18)</f>
        <v>0</v>
      </c>
      <c r="F51" s="194">
        <f>IF(F18&gt;0,-F18,-F18)</f>
        <v>0</v>
      </c>
      <c r="G51" s="194">
        <f>IF(G18&gt;0,-G18,-G18)</f>
        <v>0</v>
      </c>
      <c r="H51" s="194">
        <f>IF(H18&gt;0,-H18,-H18)</f>
        <v>0</v>
      </c>
      <c r="I51" s="195">
        <f>IF(I18&gt;0,-I18,-I18)</f>
        <v>0</v>
      </c>
    </row>
    <row r="52" spans="2:9" ht="11.25" customHeight="1" x14ac:dyDescent="0.2">
      <c r="B52" s="274"/>
      <c r="C52" s="132" t="s">
        <v>794</v>
      </c>
      <c r="D52" s="132" t="s">
        <v>497</v>
      </c>
      <c r="E52" s="194">
        <f>IF(E17&gt;0,-E17,-E17)</f>
        <v>0</v>
      </c>
      <c r="F52" s="194">
        <f>IF(F17&gt;0,-F17,-F17)</f>
        <v>0</v>
      </c>
      <c r="G52" s="194">
        <f>IF(G17&gt;0,-G17,-G17)</f>
        <v>0</v>
      </c>
      <c r="H52" s="194">
        <f>IF(H17&gt;0,-H17,-H17)</f>
        <v>0</v>
      </c>
      <c r="I52" s="195">
        <f>IF(I17&gt;0,-I17,-I17)</f>
        <v>0</v>
      </c>
    </row>
    <row r="53" spans="2:9" ht="11.25" customHeight="1" x14ac:dyDescent="0.2">
      <c r="B53" s="274"/>
      <c r="C53" s="133" t="s">
        <v>808</v>
      </c>
      <c r="D53" s="133" t="s">
        <v>640</v>
      </c>
      <c r="E53" s="204">
        <f>E49+E51+E52</f>
        <v>0</v>
      </c>
      <c r="F53" s="204">
        <f>F49+F51+F52</f>
        <v>0</v>
      </c>
      <c r="G53" s="204">
        <f>G49+G51+G52</f>
        <v>0</v>
      </c>
      <c r="H53" s="204">
        <f>H49+H51+H52</f>
        <v>0</v>
      </c>
      <c r="I53" s="205">
        <f>I49+I51+I52</f>
        <v>0</v>
      </c>
    </row>
    <row r="54" spans="2:9" ht="11.25" customHeight="1" x14ac:dyDescent="0.2">
      <c r="B54" s="274"/>
      <c r="C54" s="134" t="s">
        <v>809</v>
      </c>
      <c r="D54" s="134" t="s">
        <v>639</v>
      </c>
      <c r="E54" s="135">
        <f>IFERROR(E53/E12,)</f>
        <v>0</v>
      </c>
      <c r="F54" s="135">
        <f>IFERROR(F53/F12,)</f>
        <v>0</v>
      </c>
      <c r="G54" s="135">
        <f>IFERROR(G53/G12,)</f>
        <v>0</v>
      </c>
      <c r="H54" s="135">
        <f>IFERROR(H53/H12,)</f>
        <v>0</v>
      </c>
      <c r="I54" s="136">
        <f>IFERROR(I53/I12,)</f>
        <v>0</v>
      </c>
    </row>
    <row r="55" spans="2:9" ht="11.25" customHeight="1" x14ac:dyDescent="0.2">
      <c r="B55" s="274"/>
      <c r="C55" s="137"/>
      <c r="D55" s="137"/>
      <c r="E55" s="90"/>
      <c r="F55" s="90"/>
      <c r="G55" s="90"/>
      <c r="H55" s="90"/>
      <c r="I55" s="138"/>
    </row>
    <row r="56" spans="2:9" ht="11.25" customHeight="1" x14ac:dyDescent="0.2">
      <c r="B56" s="274"/>
      <c r="C56" s="139" t="s">
        <v>810</v>
      </c>
      <c r="D56" s="139" t="s">
        <v>1</v>
      </c>
      <c r="E56" s="202">
        <f>E33</f>
        <v>0</v>
      </c>
      <c r="F56" s="202">
        <f>F33</f>
        <v>0</v>
      </c>
      <c r="G56" s="202">
        <f>G33</f>
        <v>0</v>
      </c>
      <c r="H56" s="202">
        <f>H33</f>
        <v>0</v>
      </c>
      <c r="I56" s="203">
        <f>I33</f>
        <v>0</v>
      </c>
    </row>
    <row r="57" spans="2:9" ht="11.25" customHeight="1" x14ac:dyDescent="0.2">
      <c r="B57" s="274"/>
      <c r="C57" s="140" t="s">
        <v>617</v>
      </c>
      <c r="D57" s="140" t="s">
        <v>617</v>
      </c>
      <c r="E57" s="141">
        <f>IFERROR(E56/E$12,0)</f>
        <v>0</v>
      </c>
      <c r="F57" s="141">
        <f>IFERROR(F56/F$12,0)</f>
        <v>0</v>
      </c>
      <c r="G57" s="141">
        <f>IFERROR(G56/G$12,0)</f>
        <v>0</v>
      </c>
      <c r="H57" s="141">
        <f>IFERROR(H56/H$12,0)</f>
        <v>0</v>
      </c>
      <c r="I57" s="142">
        <f>IFERROR(I56/I$12,0)</f>
        <v>0</v>
      </c>
    </row>
    <row r="58" spans="2:9" ht="11.25" customHeight="1" x14ac:dyDescent="0.2">
      <c r="B58" s="274"/>
      <c r="C58" s="143" t="s">
        <v>811</v>
      </c>
      <c r="D58" s="143" t="s">
        <v>641</v>
      </c>
      <c r="E58" s="194">
        <f>IF(E29+E28&lt;0,-(E29+E28),-(E29+E28))</f>
        <v>0</v>
      </c>
      <c r="F58" s="194">
        <f>IF(F29+F28&lt;0,-(F29+F28),-(F29+F28))</f>
        <v>0</v>
      </c>
      <c r="G58" s="194">
        <f>IF(G29+G28&lt;0,-(G29+G28),-(G29+G28))</f>
        <v>0</v>
      </c>
      <c r="H58" s="194">
        <f>IF(H29+H28&lt;0,-(H29+H28),-(H29+H28))</f>
        <v>0</v>
      </c>
      <c r="I58" s="195">
        <f>IF(I29+I28&lt;0,-(I29+I28),-(I29+I28))</f>
        <v>0</v>
      </c>
    </row>
    <row r="59" spans="2:9" ht="11.25" customHeight="1" x14ac:dyDescent="0.2">
      <c r="B59" s="274"/>
      <c r="C59" s="143" t="s">
        <v>801</v>
      </c>
      <c r="D59" s="143" t="s">
        <v>77</v>
      </c>
      <c r="E59" s="194">
        <f>-E30</f>
        <v>0</v>
      </c>
      <c r="F59" s="194">
        <f>-F30</f>
        <v>0</v>
      </c>
      <c r="G59" s="194">
        <f>-G30</f>
        <v>0</v>
      </c>
      <c r="H59" s="194">
        <f>-H30</f>
        <v>0</v>
      </c>
      <c r="I59" s="195">
        <f>-I30</f>
        <v>0</v>
      </c>
    </row>
    <row r="60" spans="2:9" ht="11.25" customHeight="1" x14ac:dyDescent="0.2">
      <c r="B60" s="274"/>
      <c r="C60" s="143" t="s">
        <v>30</v>
      </c>
      <c r="D60" s="143" t="s">
        <v>630</v>
      </c>
      <c r="E60" s="194">
        <f>IF(E31&lt;0,-E31,-E31)</f>
        <v>0</v>
      </c>
      <c r="F60" s="194">
        <f>IF(F31&lt;0,-F31,-F31)</f>
        <v>0</v>
      </c>
      <c r="G60" s="194">
        <f>IF(G31&lt;0,-G31,-G31)</f>
        <v>0</v>
      </c>
      <c r="H60" s="194">
        <f>IF(H31&lt;0,-H31,-H31)</f>
        <v>0</v>
      </c>
      <c r="I60" s="195">
        <f>IF(I31&lt;0,-I31,-I31)</f>
        <v>0</v>
      </c>
    </row>
    <row r="61" spans="2:9" ht="11.25" customHeight="1" x14ac:dyDescent="0.2">
      <c r="B61" s="274"/>
      <c r="C61" s="143" t="s">
        <v>794</v>
      </c>
      <c r="D61" s="143" t="s">
        <v>497</v>
      </c>
      <c r="E61" s="194">
        <f>IF(E17&lt;0,-E17,-E17)</f>
        <v>0</v>
      </c>
      <c r="F61" s="194">
        <f>IF(F17&lt;0,-F17,-F17)</f>
        <v>0</v>
      </c>
      <c r="G61" s="194">
        <f>IF(G17&lt;0,-G17,-G17)</f>
        <v>0</v>
      </c>
      <c r="H61" s="194">
        <f>IF(H17&lt;0,-H17,-H17)</f>
        <v>0</v>
      </c>
      <c r="I61" s="195">
        <f>IF(I17&lt;0,-I17,-I17)</f>
        <v>0</v>
      </c>
    </row>
    <row r="62" spans="2:9" ht="11.25" customHeight="1" x14ac:dyDescent="0.2">
      <c r="B62" s="274"/>
      <c r="C62" s="125" t="s">
        <v>812</v>
      </c>
      <c r="D62" s="125" t="s">
        <v>618</v>
      </c>
      <c r="E62" s="198">
        <f>E56+SUM(E58:E61)</f>
        <v>0</v>
      </c>
      <c r="F62" s="198">
        <f t="shared" ref="F62:I62" si="21">F56+SUM(F58:F61)</f>
        <v>0</v>
      </c>
      <c r="G62" s="198">
        <f t="shared" si="21"/>
        <v>0</v>
      </c>
      <c r="H62" s="198">
        <f t="shared" si="21"/>
        <v>0</v>
      </c>
      <c r="I62" s="199">
        <f t="shared" si="21"/>
        <v>0</v>
      </c>
    </row>
    <row r="63" spans="2:9" ht="11.25" customHeight="1" thickBot="1" x14ac:dyDescent="0.25">
      <c r="B63" s="274"/>
      <c r="C63" s="144" t="s">
        <v>752</v>
      </c>
      <c r="D63" s="144" t="s">
        <v>642</v>
      </c>
      <c r="E63" s="145">
        <f>IFERROR(E62/E$12,0)</f>
        <v>0</v>
      </c>
      <c r="F63" s="145">
        <f>IFERROR(F62/F$12,0)</f>
        <v>0</v>
      </c>
      <c r="G63" s="145">
        <f>IFERROR(G62/G$12,0)</f>
        <v>0</v>
      </c>
      <c r="H63" s="145">
        <f>IFERROR(H62/H$12,0)</f>
        <v>0</v>
      </c>
      <c r="I63" s="146">
        <f>IFERROR(I62/I$12,0)</f>
        <v>0</v>
      </c>
    </row>
    <row r="64" spans="2:9" ht="11.25" customHeight="1" x14ac:dyDescent="0.2">
      <c r="B64" s="274"/>
      <c r="E64" s="172"/>
      <c r="F64" s="172"/>
      <c r="G64" s="172"/>
      <c r="H64" s="172"/>
      <c r="I64" s="172"/>
    </row>
    <row r="65" spans="1:21" ht="11.25" customHeight="1" x14ac:dyDescent="0.2">
      <c r="B65" s="274"/>
      <c r="E65" s="172"/>
      <c r="F65" s="172"/>
      <c r="G65" s="172"/>
      <c r="H65" s="172"/>
      <c r="I65" s="172"/>
    </row>
    <row r="66" spans="1:21" ht="11.25" customHeight="1" x14ac:dyDescent="0.2">
      <c r="B66" s="274"/>
      <c r="E66" s="172"/>
      <c r="F66" s="172"/>
      <c r="G66" s="172"/>
      <c r="H66" s="172"/>
      <c r="I66" s="172"/>
    </row>
    <row r="67" spans="1:21" ht="19.5" customHeight="1" x14ac:dyDescent="0.2">
      <c r="A67" s="273"/>
      <c r="B67" s="274"/>
      <c r="C67" s="109" t="s">
        <v>3</v>
      </c>
      <c r="D67" s="109" t="s">
        <v>93</v>
      </c>
      <c r="E67" s="110"/>
      <c r="F67" s="110"/>
      <c r="G67" s="110"/>
      <c r="H67" s="110"/>
      <c r="I67" s="111"/>
      <c r="K67" s="109" t="s">
        <v>880</v>
      </c>
      <c r="L67" s="113"/>
      <c r="M67" s="113"/>
      <c r="N67" s="113"/>
      <c r="O67" s="114"/>
      <c r="P67" s="86"/>
      <c r="Q67" s="109" t="s">
        <v>873</v>
      </c>
      <c r="R67" s="113"/>
      <c r="S67" s="113"/>
      <c r="T67" s="113"/>
      <c r="U67" s="114"/>
    </row>
    <row r="68" spans="1:21" ht="11.25" customHeight="1" x14ac:dyDescent="0.2">
      <c r="A68" s="273"/>
      <c r="B68" s="274"/>
      <c r="C68" s="115" t="str">
        <f>'Detailné výkazy'!C7</f>
        <v xml:space="preserve">€  </v>
      </c>
      <c r="D68" s="115" t="str">
        <f>'Detailné výkazy'!C7</f>
        <v xml:space="preserve">€  </v>
      </c>
      <c r="E68" s="692">
        <v>42735</v>
      </c>
      <c r="F68" s="692">
        <v>43100</v>
      </c>
      <c r="G68" s="692">
        <v>43465</v>
      </c>
      <c r="H68" s="692">
        <v>43830</v>
      </c>
      <c r="I68" s="693">
        <v>44196</v>
      </c>
      <c r="J68" s="283"/>
      <c r="K68" s="1047">
        <v>42735</v>
      </c>
      <c r="L68" s="843">
        <v>43100</v>
      </c>
      <c r="M68" s="843">
        <v>43465</v>
      </c>
      <c r="N68" s="843">
        <v>43830</v>
      </c>
      <c r="O68" s="844">
        <v>44196</v>
      </c>
      <c r="P68" s="1048"/>
      <c r="Q68" s="1047">
        <v>42735</v>
      </c>
      <c r="R68" s="843">
        <v>43100</v>
      </c>
      <c r="S68" s="843">
        <v>43465</v>
      </c>
      <c r="T68" s="843">
        <v>43830</v>
      </c>
      <c r="U68" s="844">
        <v>44196</v>
      </c>
    </row>
    <row r="69" spans="1:21" ht="11.25" customHeight="1" x14ac:dyDescent="0.2">
      <c r="A69" s="273"/>
      <c r="B69" s="274"/>
      <c r="C69" s="147" t="s">
        <v>36</v>
      </c>
      <c r="D69" s="147" t="s">
        <v>644</v>
      </c>
      <c r="E69" s="148"/>
      <c r="F69" s="148"/>
      <c r="G69" s="148"/>
      <c r="H69" s="148"/>
      <c r="I69" s="149"/>
      <c r="K69" s="1049"/>
      <c r="L69" s="1048"/>
      <c r="M69" s="1048"/>
      <c r="N69" s="1048"/>
      <c r="O69" s="1050"/>
      <c r="P69" s="1048"/>
      <c r="Q69" s="1049"/>
      <c r="R69" s="1048"/>
      <c r="S69" s="1048"/>
      <c r="T69" s="1048"/>
      <c r="U69" s="1050"/>
    </row>
    <row r="70" spans="1:21" ht="11.25" customHeight="1" x14ac:dyDescent="0.2">
      <c r="B70" s="274">
        <v>50</v>
      </c>
      <c r="C70" s="284" t="s">
        <v>4</v>
      </c>
      <c r="D70" s="284" t="s">
        <v>94</v>
      </c>
      <c r="E70" s="194">
        <f>SUMIF(Aktíva!A:A,B70,Aktíva!J:J)/Units</f>
        <v>0</v>
      </c>
      <c r="F70" s="194">
        <f>SUMIF(Aktíva!A:A,B70,Aktíva!I:I)/Units</f>
        <v>0</v>
      </c>
      <c r="G70" s="194">
        <f>SUMIF(Aktíva!A:A,B70,Aktíva!H:H)/Units</f>
        <v>0</v>
      </c>
      <c r="H70" s="194">
        <f>SUMIF(Aktíva!A:A,B70,Aktíva!G:G)/Units</f>
        <v>0</v>
      </c>
      <c r="I70" s="195">
        <f>SUMIF(Aktíva!A:A,B70,Aktíva!F:F)/Units</f>
        <v>0</v>
      </c>
      <c r="K70" s="1051" t="e">
        <f>E70/E$82</f>
        <v>#DIV/0!</v>
      </c>
      <c r="L70" s="727" t="e">
        <f t="shared" ref="L70:O73" si="22">F70/F$82</f>
        <v>#DIV/0!</v>
      </c>
      <c r="M70" s="727" t="e">
        <f t="shared" si="22"/>
        <v>#DIV/0!</v>
      </c>
      <c r="N70" s="727" t="e">
        <f t="shared" si="22"/>
        <v>#DIV/0!</v>
      </c>
      <c r="O70" s="728" t="e">
        <f t="shared" si="22"/>
        <v>#DIV/0!</v>
      </c>
      <c r="P70" s="1048"/>
      <c r="Q70" s="1049"/>
      <c r="R70" s="1052" t="e">
        <f>F70/E70-1</f>
        <v>#DIV/0!</v>
      </c>
      <c r="S70" s="1052" t="e">
        <f t="shared" ref="S70:U70" si="23">G70/F70-1</f>
        <v>#DIV/0!</v>
      </c>
      <c r="T70" s="1052" t="e">
        <f t="shared" si="23"/>
        <v>#DIV/0!</v>
      </c>
      <c r="U70" s="1053" t="e">
        <f t="shared" si="23"/>
        <v>#DIV/0!</v>
      </c>
    </row>
    <row r="71" spans="1:21" ht="11.25" customHeight="1" x14ac:dyDescent="0.2">
      <c r="B71" s="274">
        <v>54</v>
      </c>
      <c r="C71" s="284" t="s">
        <v>5</v>
      </c>
      <c r="D71" s="284" t="s">
        <v>106</v>
      </c>
      <c r="E71" s="194">
        <f>SUMIF(Aktíva!A:A,B71,Aktíva!J:J)/Units</f>
        <v>0</v>
      </c>
      <c r="F71" s="194">
        <f>SUMIF(Aktíva!A:A,B71,Aktíva!I:I)/Units</f>
        <v>0</v>
      </c>
      <c r="G71" s="194">
        <f>SUMIF(Aktíva!A:A,B71,Aktíva!H:H)/Units</f>
        <v>0</v>
      </c>
      <c r="H71" s="194">
        <f>SUMIF(Aktíva!A:A,B71,Aktíva!G:G)/Units</f>
        <v>0</v>
      </c>
      <c r="I71" s="195">
        <f>SUMIF(Aktíva!A:A,B71,Aktíva!F:F)/Units</f>
        <v>0</v>
      </c>
      <c r="K71" s="507" t="e">
        <f t="shared" ref="K71:K82" si="24">E71/E$82</f>
        <v>#DIV/0!</v>
      </c>
      <c r="L71" s="508" t="e">
        <f>F71/F$82</f>
        <v>#DIV/0!</v>
      </c>
      <c r="M71" s="508" t="e">
        <f t="shared" si="22"/>
        <v>#DIV/0!</v>
      </c>
      <c r="N71" s="508" t="e">
        <f t="shared" si="22"/>
        <v>#DIV/0!</v>
      </c>
      <c r="O71" s="509" t="e">
        <f t="shared" si="22"/>
        <v>#DIV/0!</v>
      </c>
      <c r="P71" s="1048"/>
      <c r="Q71" s="1049"/>
      <c r="R71" s="1052">
        <f>IFERROR(F71/E71-1,0)</f>
        <v>0</v>
      </c>
      <c r="S71" s="1052">
        <f t="shared" ref="S71:U72" si="25">IFERROR(G71/F71-1,0)</f>
        <v>0</v>
      </c>
      <c r="T71" s="1052">
        <f t="shared" si="25"/>
        <v>0</v>
      </c>
      <c r="U71" s="1053">
        <f t="shared" si="25"/>
        <v>0</v>
      </c>
    </row>
    <row r="72" spans="1:21" ht="11.25" customHeight="1" x14ac:dyDescent="0.2">
      <c r="B72" s="274">
        <v>58</v>
      </c>
      <c r="C72" s="284" t="s">
        <v>6</v>
      </c>
      <c r="D72" s="284" t="s">
        <v>645</v>
      </c>
      <c r="E72" s="194">
        <f>SUMIF(Aktíva!A:A,B72,Aktíva!J:J)/Units</f>
        <v>0</v>
      </c>
      <c r="F72" s="194">
        <f>SUMIF(Aktíva!A:A,B72,Aktíva!I:I)/Units</f>
        <v>0</v>
      </c>
      <c r="G72" s="194">
        <f>SUMIF(Aktíva!A:A,B72,Aktíva!H:H)/Units</f>
        <v>0</v>
      </c>
      <c r="H72" s="194">
        <f>SUMIF(Aktíva!A:A,B72,Aktíva!G:G)/Units</f>
        <v>0</v>
      </c>
      <c r="I72" s="195">
        <f>SUMIF(Aktíva!A:A,B72,Aktíva!F:F)/Units</f>
        <v>0</v>
      </c>
      <c r="K72" s="718" t="e">
        <f t="shared" si="24"/>
        <v>#DIV/0!</v>
      </c>
      <c r="L72" s="711" t="e">
        <f t="shared" si="22"/>
        <v>#DIV/0!</v>
      </c>
      <c r="M72" s="711" t="e">
        <f t="shared" si="22"/>
        <v>#DIV/0!</v>
      </c>
      <c r="N72" s="711" t="e">
        <f t="shared" si="22"/>
        <v>#DIV/0!</v>
      </c>
      <c r="O72" s="719" t="e">
        <f t="shared" si="22"/>
        <v>#DIV/0!</v>
      </c>
      <c r="P72" s="1048"/>
      <c r="Q72" s="1054"/>
      <c r="R72" s="1055">
        <f>IFERROR(F72/E72-1,0)</f>
        <v>0</v>
      </c>
      <c r="S72" s="1055">
        <f t="shared" si="25"/>
        <v>0</v>
      </c>
      <c r="T72" s="1055">
        <f t="shared" si="25"/>
        <v>0</v>
      </c>
      <c r="U72" s="1056">
        <f t="shared" si="25"/>
        <v>0</v>
      </c>
    </row>
    <row r="73" spans="1:21" ht="11.25" customHeight="1" x14ac:dyDescent="0.2">
      <c r="B73" s="274"/>
      <c r="C73" s="150"/>
      <c r="D73" s="150"/>
      <c r="E73" s="198">
        <f>SUM(E70:E72)</f>
        <v>0</v>
      </c>
      <c r="F73" s="198">
        <f>SUM(F70:F72)</f>
        <v>0</v>
      </c>
      <c r="G73" s="198">
        <f>SUM(G70:G72)</f>
        <v>0</v>
      </c>
      <c r="H73" s="198">
        <f>SUM(H70:H72)</f>
        <v>0</v>
      </c>
      <c r="I73" s="199">
        <f>SUM(I70:I72)</f>
        <v>0</v>
      </c>
      <c r="K73" s="519" t="e">
        <f t="shared" si="24"/>
        <v>#DIV/0!</v>
      </c>
      <c r="L73" s="520" t="e">
        <f>F73/F$82</f>
        <v>#DIV/0!</v>
      </c>
      <c r="M73" s="520" t="e">
        <f t="shared" si="22"/>
        <v>#DIV/0!</v>
      </c>
      <c r="N73" s="520" t="e">
        <f t="shared" si="22"/>
        <v>#DIV/0!</v>
      </c>
      <c r="O73" s="521" t="e">
        <f t="shared" si="22"/>
        <v>#DIV/0!</v>
      </c>
      <c r="P73" s="1048"/>
      <c r="Q73" s="1057"/>
      <c r="R73" s="1058">
        <f>IFERROR(F73/E73-1,0)</f>
        <v>0</v>
      </c>
      <c r="S73" s="1058">
        <f t="shared" ref="S73:U73" si="26">IFERROR(G73/F73-1,0)</f>
        <v>0</v>
      </c>
      <c r="T73" s="1058">
        <f t="shared" si="26"/>
        <v>0</v>
      </c>
      <c r="U73" s="1059">
        <f t="shared" si="26"/>
        <v>0</v>
      </c>
    </row>
    <row r="74" spans="1:21" ht="11.25" customHeight="1" x14ac:dyDescent="0.2">
      <c r="B74" s="274"/>
      <c r="C74" s="151"/>
      <c r="D74" s="151"/>
      <c r="E74" s="206"/>
      <c r="F74" s="206"/>
      <c r="G74" s="206"/>
      <c r="H74" s="206"/>
      <c r="I74" s="207"/>
      <c r="K74" s="507"/>
      <c r="L74" s="508"/>
      <c r="M74" s="508"/>
      <c r="N74" s="508"/>
      <c r="O74" s="509"/>
      <c r="P74" s="1048"/>
      <c r="Q74" s="1057"/>
      <c r="R74" s="708"/>
      <c r="S74" s="708"/>
      <c r="T74" s="708"/>
      <c r="U74" s="709"/>
    </row>
    <row r="75" spans="1:21" ht="11.25" customHeight="1" x14ac:dyDescent="0.2">
      <c r="B75" s="274"/>
      <c r="C75" s="152" t="s">
        <v>813</v>
      </c>
      <c r="D75" s="152" t="s">
        <v>646</v>
      </c>
      <c r="E75" s="208"/>
      <c r="F75" s="208"/>
      <c r="G75" s="208"/>
      <c r="H75" s="208"/>
      <c r="I75" s="209"/>
      <c r="K75" s="507"/>
      <c r="L75" s="508"/>
      <c r="M75" s="508"/>
      <c r="N75" s="508"/>
      <c r="O75" s="509"/>
      <c r="P75" s="1048"/>
      <c r="Q75" s="1060"/>
      <c r="R75" s="739"/>
      <c r="S75" s="739"/>
      <c r="T75" s="739"/>
      <c r="U75" s="695"/>
    </row>
    <row r="76" spans="1:21" ht="11.25" customHeight="1" x14ac:dyDescent="0.2">
      <c r="B76" s="274">
        <v>61</v>
      </c>
      <c r="C76" s="284" t="s">
        <v>7</v>
      </c>
      <c r="D76" s="284" t="s">
        <v>116</v>
      </c>
      <c r="E76" s="194">
        <f>SUMIF(Aktíva!A:A,B76,Aktíva!J:J)/Units</f>
        <v>0</v>
      </c>
      <c r="F76" s="194">
        <f>SUMIF(Aktíva!A:A,B76,Aktíva!I:I)/Units</f>
        <v>0</v>
      </c>
      <c r="G76" s="194">
        <f>SUMIF(Aktíva!A:A,B76,Aktíva!H:H)/Units</f>
        <v>0</v>
      </c>
      <c r="H76" s="194">
        <f>SUMIF(Aktíva!A:A,B76,Aktíva!G:G)/Units</f>
        <v>0</v>
      </c>
      <c r="I76" s="195">
        <f>SUMIF(Aktíva!A:A,B76,Aktíva!F:F)/Units</f>
        <v>0</v>
      </c>
      <c r="K76" s="507" t="e">
        <f t="shared" si="24"/>
        <v>#DIV/0!</v>
      </c>
      <c r="L76" s="508" t="e">
        <f t="shared" ref="L76:L82" si="27">F76/F$82</f>
        <v>#DIV/0!</v>
      </c>
      <c r="M76" s="508" t="e">
        <f t="shared" ref="M76:M82" si="28">G76/G$82</f>
        <v>#DIV/0!</v>
      </c>
      <c r="N76" s="508" t="e">
        <f t="shared" ref="N76:N82" si="29">H76/H$82</f>
        <v>#DIV/0!</v>
      </c>
      <c r="O76" s="509" t="e">
        <f t="shared" ref="O76:O82" si="30">I76/I$82</f>
        <v>#DIV/0!</v>
      </c>
      <c r="P76" s="1048"/>
      <c r="Q76" s="1061"/>
      <c r="R76" s="508">
        <f>IFERROR(F76/E76-1,0)</f>
        <v>0</v>
      </c>
      <c r="S76" s="508">
        <f t="shared" ref="S76:U76" si="31">IFERROR(G76/F76-1,0)</f>
        <v>0</v>
      </c>
      <c r="T76" s="508">
        <f t="shared" si="31"/>
        <v>0</v>
      </c>
      <c r="U76" s="509">
        <f t="shared" si="31"/>
        <v>0</v>
      </c>
    </row>
    <row r="77" spans="1:21" ht="11.25" customHeight="1" x14ac:dyDescent="0.2">
      <c r="B77" s="274">
        <v>63</v>
      </c>
      <c r="C77" s="284" t="s">
        <v>8</v>
      </c>
      <c r="D77" s="284" t="s">
        <v>647</v>
      </c>
      <c r="E77" s="194">
        <f>SUMIF(Aktíva!A:A,$B77,Aktíva!J:J)/Units</f>
        <v>0</v>
      </c>
      <c r="F77" s="194">
        <f>SUMIF(Aktíva!A:A,B77,Aktíva!I:I)/Units</f>
        <v>0</v>
      </c>
      <c r="G77" s="194">
        <f>SUMIF(Aktíva!A:A,B77,Aktíva!H:H)/Units</f>
        <v>0</v>
      </c>
      <c r="H77" s="194">
        <f>SUMIF(Aktíva!A:A,B77,Aktíva!G:G)/Units</f>
        <v>0</v>
      </c>
      <c r="I77" s="195">
        <f>SUMIF(Aktíva!A:A,B77,Aktíva!F:F)/Units</f>
        <v>0</v>
      </c>
      <c r="K77" s="507" t="e">
        <f t="shared" si="24"/>
        <v>#DIV/0!</v>
      </c>
      <c r="L77" s="508" t="e">
        <f t="shared" si="27"/>
        <v>#DIV/0!</v>
      </c>
      <c r="M77" s="508" t="e">
        <f t="shared" si="28"/>
        <v>#DIV/0!</v>
      </c>
      <c r="N77" s="508" t="e">
        <f t="shared" si="29"/>
        <v>#DIV/0!</v>
      </c>
      <c r="O77" s="509" t="e">
        <f t="shared" si="30"/>
        <v>#DIV/0!</v>
      </c>
      <c r="P77" s="1048"/>
      <c r="Q77" s="1061"/>
      <c r="R77" s="508">
        <f t="shared" ref="R77:R81" si="32">IFERROR(F77/E77-1,0)</f>
        <v>0</v>
      </c>
      <c r="S77" s="508">
        <f t="shared" ref="S77:S81" si="33">IFERROR(G77/F77-1,0)</f>
        <v>0</v>
      </c>
      <c r="T77" s="508">
        <f t="shared" ref="T77:T81" si="34">IFERROR(H77/G77-1,0)</f>
        <v>0</v>
      </c>
      <c r="U77" s="509">
        <f t="shared" ref="U77:U81" si="35">IFERROR(I77/H77-1,0)</f>
        <v>0</v>
      </c>
    </row>
    <row r="78" spans="1:21" ht="11.25" customHeight="1" x14ac:dyDescent="0.2">
      <c r="B78" s="274">
        <v>65</v>
      </c>
      <c r="C78" s="284" t="s">
        <v>9</v>
      </c>
      <c r="D78" s="284" t="s">
        <v>648</v>
      </c>
      <c r="E78" s="194">
        <f>SUMIF(Aktíva!A:A,B78,Aktíva!J:J)/Units</f>
        <v>0</v>
      </c>
      <c r="F78" s="194">
        <f>SUMIF(Aktíva!A:A,B78,Aktíva!I:I)/Units</f>
        <v>0</v>
      </c>
      <c r="G78" s="194">
        <f>SUMIF(Aktíva!A:A,B78,Aktíva!H:H)/Units</f>
        <v>0</v>
      </c>
      <c r="H78" s="194">
        <f>SUMIF(Aktíva!A:A,B78,Aktíva!G:G)/Units</f>
        <v>0</v>
      </c>
      <c r="I78" s="195">
        <f>SUMIF(Aktíva!A:A,B78,Aktíva!F:F)/Units</f>
        <v>0</v>
      </c>
      <c r="K78" s="507" t="e">
        <f t="shared" si="24"/>
        <v>#DIV/0!</v>
      </c>
      <c r="L78" s="508" t="e">
        <f t="shared" si="27"/>
        <v>#DIV/0!</v>
      </c>
      <c r="M78" s="508" t="e">
        <f t="shared" si="28"/>
        <v>#DIV/0!</v>
      </c>
      <c r="N78" s="508" t="e">
        <f t="shared" si="29"/>
        <v>#DIV/0!</v>
      </c>
      <c r="O78" s="509" t="e">
        <f t="shared" si="30"/>
        <v>#DIV/0!</v>
      </c>
      <c r="P78" s="1048"/>
      <c r="Q78" s="1061"/>
      <c r="R78" s="508">
        <f t="shared" si="32"/>
        <v>0</v>
      </c>
      <c r="S78" s="508">
        <f t="shared" si="33"/>
        <v>0</v>
      </c>
      <c r="T78" s="508">
        <f t="shared" si="34"/>
        <v>0</v>
      </c>
      <c r="U78" s="509">
        <f t="shared" si="35"/>
        <v>0</v>
      </c>
    </row>
    <row r="79" spans="1:21" ht="11.25" customHeight="1" x14ac:dyDescent="0.2">
      <c r="B79" s="274">
        <v>64</v>
      </c>
      <c r="C79" s="284" t="s">
        <v>603</v>
      </c>
      <c r="D79" s="284" t="s">
        <v>649</v>
      </c>
      <c r="E79" s="194">
        <f>SUMIF(Aktíva!A:A,$B79,Aktíva!J:J)/Units</f>
        <v>0</v>
      </c>
      <c r="F79" s="194">
        <f>SUMIF(Aktíva!A:A,B79,Aktíva!I:I)/Units</f>
        <v>0</v>
      </c>
      <c r="G79" s="194">
        <f>SUMIF(Aktíva!A:A,B79,Aktíva!H:H)/Units</f>
        <v>0</v>
      </c>
      <c r="H79" s="194">
        <f>SUMIF(Aktíva!A:A,B79,Aktíva!G:G)/Units</f>
        <v>0</v>
      </c>
      <c r="I79" s="195">
        <f>SUMIF(Aktíva!A:A,B79,Aktíva!F:F)/Units</f>
        <v>0</v>
      </c>
      <c r="K79" s="507" t="e">
        <f t="shared" si="24"/>
        <v>#DIV/0!</v>
      </c>
      <c r="L79" s="508" t="e">
        <f t="shared" si="27"/>
        <v>#DIV/0!</v>
      </c>
      <c r="M79" s="508" t="e">
        <f t="shared" si="28"/>
        <v>#DIV/0!</v>
      </c>
      <c r="N79" s="508" t="e">
        <f t="shared" si="29"/>
        <v>#DIV/0!</v>
      </c>
      <c r="O79" s="509" t="e">
        <f t="shared" si="30"/>
        <v>#DIV/0!</v>
      </c>
      <c r="P79" s="1048"/>
      <c r="Q79" s="1061"/>
      <c r="R79" s="508">
        <f t="shared" si="32"/>
        <v>0</v>
      </c>
      <c r="S79" s="508">
        <f t="shared" si="33"/>
        <v>0</v>
      </c>
      <c r="T79" s="508">
        <f t="shared" si="34"/>
        <v>0</v>
      </c>
      <c r="U79" s="509">
        <f t="shared" si="35"/>
        <v>0</v>
      </c>
    </row>
    <row r="80" spans="1:21" ht="11.25" customHeight="1" x14ac:dyDescent="0.2">
      <c r="B80" s="274">
        <v>67</v>
      </c>
      <c r="C80" s="285" t="s">
        <v>814</v>
      </c>
      <c r="D80" s="285" t="s">
        <v>703</v>
      </c>
      <c r="E80" s="194">
        <f>SUMIF(Aktíva!A:A,B80,Aktíva!J:J)/Units</f>
        <v>0</v>
      </c>
      <c r="F80" s="194">
        <f>SUMIF(Aktíva!A:A,B80,Aktíva!I:I)/Units</f>
        <v>0</v>
      </c>
      <c r="G80" s="194">
        <f>SUMIF(Aktíva!A:A,B80,Aktíva!H:H)/Units</f>
        <v>0</v>
      </c>
      <c r="H80" s="194">
        <f>SUMIF(Aktíva!A:A,B80,Aktíva!G:G)/Units</f>
        <v>0</v>
      </c>
      <c r="I80" s="195">
        <f>SUMIF(Aktíva!A:A,B80,Aktíva!F:F)/Units</f>
        <v>0</v>
      </c>
      <c r="K80" s="718" t="e">
        <f t="shared" si="24"/>
        <v>#DIV/0!</v>
      </c>
      <c r="L80" s="711" t="e">
        <f t="shared" si="27"/>
        <v>#DIV/0!</v>
      </c>
      <c r="M80" s="711" t="e">
        <f t="shared" si="28"/>
        <v>#DIV/0!</v>
      </c>
      <c r="N80" s="711" t="e">
        <f t="shared" si="29"/>
        <v>#DIV/0!</v>
      </c>
      <c r="O80" s="719" t="e">
        <f t="shared" si="30"/>
        <v>#DIV/0!</v>
      </c>
      <c r="P80" s="1048"/>
      <c r="Q80" s="1061"/>
      <c r="R80" s="711">
        <f t="shared" si="32"/>
        <v>0</v>
      </c>
      <c r="S80" s="711">
        <f t="shared" si="33"/>
        <v>0</v>
      </c>
      <c r="T80" s="711">
        <f t="shared" si="34"/>
        <v>0</v>
      </c>
      <c r="U80" s="719">
        <f t="shared" si="35"/>
        <v>0</v>
      </c>
    </row>
    <row r="81" spans="2:21" ht="11.25" customHeight="1" x14ac:dyDescent="0.2">
      <c r="B81" s="274"/>
      <c r="C81" s="150"/>
      <c r="D81" s="150"/>
      <c r="E81" s="198">
        <f>SUM(E76:E80)</f>
        <v>0</v>
      </c>
      <c r="F81" s="198">
        <f>SUM(F76:F80)</f>
        <v>0</v>
      </c>
      <c r="G81" s="198">
        <f>SUM(G76:G80)</f>
        <v>0</v>
      </c>
      <c r="H81" s="198">
        <f>SUM(H76:H80)</f>
        <v>0</v>
      </c>
      <c r="I81" s="199">
        <f>SUM(I76:I80)</f>
        <v>0</v>
      </c>
      <c r="K81" s="722" t="e">
        <f t="shared" si="24"/>
        <v>#DIV/0!</v>
      </c>
      <c r="L81" s="723" t="e">
        <f t="shared" si="27"/>
        <v>#DIV/0!</v>
      </c>
      <c r="M81" s="723" t="e">
        <f t="shared" si="28"/>
        <v>#DIV/0!</v>
      </c>
      <c r="N81" s="723" t="e">
        <f t="shared" si="29"/>
        <v>#DIV/0!</v>
      </c>
      <c r="O81" s="724" t="e">
        <f t="shared" si="30"/>
        <v>#DIV/0!</v>
      </c>
      <c r="P81" s="1048"/>
      <c r="Q81" s="1062"/>
      <c r="R81" s="723">
        <f t="shared" si="32"/>
        <v>0</v>
      </c>
      <c r="S81" s="723">
        <f t="shared" si="33"/>
        <v>0</v>
      </c>
      <c r="T81" s="723">
        <f t="shared" si="34"/>
        <v>0</v>
      </c>
      <c r="U81" s="724">
        <f t="shared" si="35"/>
        <v>0</v>
      </c>
    </row>
    <row r="82" spans="2:21" ht="11.25" customHeight="1" thickBot="1" x14ac:dyDescent="0.25">
      <c r="B82" s="274"/>
      <c r="C82" s="153" t="s">
        <v>850</v>
      </c>
      <c r="D82" s="153" t="s">
        <v>664</v>
      </c>
      <c r="E82" s="210">
        <f>E81+E73</f>
        <v>0</v>
      </c>
      <c r="F82" s="210">
        <f>F81+F73</f>
        <v>0</v>
      </c>
      <c r="G82" s="210">
        <f>G81+G73</f>
        <v>0</v>
      </c>
      <c r="H82" s="210">
        <f>H81+H73</f>
        <v>0</v>
      </c>
      <c r="I82" s="211">
        <f>I81+I73</f>
        <v>0</v>
      </c>
      <c r="K82" s="732" t="e">
        <f t="shared" si="24"/>
        <v>#DIV/0!</v>
      </c>
      <c r="L82" s="733" t="e">
        <f t="shared" si="27"/>
        <v>#DIV/0!</v>
      </c>
      <c r="M82" s="733" t="e">
        <f t="shared" si="28"/>
        <v>#DIV/0!</v>
      </c>
      <c r="N82" s="733" t="e">
        <f t="shared" si="29"/>
        <v>#DIV/0!</v>
      </c>
      <c r="O82" s="734" t="e">
        <f t="shared" si="30"/>
        <v>#DIV/0!</v>
      </c>
      <c r="P82" s="1048"/>
      <c r="Q82" s="1063"/>
      <c r="R82" s="733">
        <f t="shared" ref="R82" si="36">IFERROR(F82/E82-1,0)</f>
        <v>0</v>
      </c>
      <c r="S82" s="733">
        <f t="shared" ref="S82" si="37">IFERROR(G82/F82-1,0)</f>
        <v>0</v>
      </c>
      <c r="T82" s="733">
        <f t="shared" ref="T82" si="38">IFERROR(H82/G82-1,0)</f>
        <v>0</v>
      </c>
      <c r="U82" s="734">
        <f t="shared" ref="U82" si="39">IFERROR(I82/H82-1,0)</f>
        <v>0</v>
      </c>
    </row>
    <row r="83" spans="2:21" ht="11.25" customHeight="1" x14ac:dyDescent="0.2">
      <c r="B83" s="274"/>
      <c r="C83" s="152" t="s">
        <v>816</v>
      </c>
      <c r="D83" s="152" t="s">
        <v>655</v>
      </c>
      <c r="E83" s="206"/>
      <c r="F83" s="206"/>
      <c r="G83" s="206"/>
      <c r="H83" s="206"/>
      <c r="I83" s="207"/>
      <c r="K83" s="707"/>
      <c r="L83" s="708"/>
      <c r="M83" s="708"/>
      <c r="N83" s="708"/>
      <c r="O83" s="709"/>
      <c r="P83" s="1048"/>
      <c r="Q83" s="1057"/>
      <c r="R83" s="708"/>
      <c r="S83" s="708"/>
      <c r="T83" s="708"/>
      <c r="U83" s="709"/>
    </row>
    <row r="84" spans="2:21" ht="11.25" customHeight="1" x14ac:dyDescent="0.2">
      <c r="B84" s="274"/>
      <c r="C84" s="157" t="s">
        <v>817</v>
      </c>
      <c r="D84" s="157" t="s">
        <v>656</v>
      </c>
      <c r="I84" s="275"/>
      <c r="K84" s="507"/>
      <c r="L84" s="508"/>
      <c r="M84" s="508"/>
      <c r="N84" s="508"/>
      <c r="O84" s="509"/>
      <c r="P84" s="1048"/>
      <c r="Q84" s="1049"/>
      <c r="R84" s="508"/>
      <c r="S84" s="508"/>
      <c r="T84" s="508"/>
      <c r="U84" s="509"/>
    </row>
    <row r="85" spans="2:21" ht="11.25" customHeight="1" x14ac:dyDescent="0.2">
      <c r="B85" s="274" t="s">
        <v>15</v>
      </c>
      <c r="C85" s="158" t="s">
        <v>38</v>
      </c>
      <c r="D85" s="158" t="s">
        <v>138</v>
      </c>
      <c r="E85" s="194">
        <f>SUMIF(Pasíva!A:A,B85,Pasíva!J:J)/Units</f>
        <v>0</v>
      </c>
      <c r="F85" s="194">
        <f>SUMIF(Pasíva!A:A,B85,Pasíva!I:I)/Units</f>
        <v>0</v>
      </c>
      <c r="G85" s="194">
        <f>SUMIF(Pasíva!A:A,B85,Pasíva!H:H)/Units</f>
        <v>0</v>
      </c>
      <c r="H85" s="194">
        <f>SUMIF(Pasíva!A:A,B85,Pasíva!G:G)/Units</f>
        <v>0</v>
      </c>
      <c r="I85" s="195">
        <f>SUMIF(Pasíva!A:A,B85,Pasíva!F:F)/Units</f>
        <v>0</v>
      </c>
      <c r="K85" s="507" t="e">
        <f>E85/E$99</f>
        <v>#DIV/0!</v>
      </c>
      <c r="L85" s="508" t="e">
        <f t="shared" ref="L85:O99" si="40">F85/F$99</f>
        <v>#DIV/0!</v>
      </c>
      <c r="M85" s="508" t="e">
        <f t="shared" si="40"/>
        <v>#DIV/0!</v>
      </c>
      <c r="N85" s="508" t="e">
        <f t="shared" si="40"/>
        <v>#DIV/0!</v>
      </c>
      <c r="O85" s="509" t="e">
        <f t="shared" si="40"/>
        <v>#DIV/0!</v>
      </c>
      <c r="P85" s="1048"/>
      <c r="Q85" s="1061"/>
      <c r="R85" s="508">
        <v>0</v>
      </c>
      <c r="S85" s="508">
        <v>0</v>
      </c>
      <c r="T85" s="508">
        <v>0</v>
      </c>
      <c r="U85" s="509">
        <v>0</v>
      </c>
    </row>
    <row r="86" spans="2:21" ht="11.25" customHeight="1" x14ac:dyDescent="0.2">
      <c r="B86" s="274">
        <v>87</v>
      </c>
      <c r="C86" s="158" t="s">
        <v>818</v>
      </c>
      <c r="D86" s="158" t="s">
        <v>657</v>
      </c>
      <c r="E86" s="194">
        <f>SUMIF(Pasíva!A:A,B86,Pasíva!J:J)/Units</f>
        <v>0</v>
      </c>
      <c r="F86" s="194">
        <f>SUMIF(Pasíva!A:A,B86,Pasíva!I:I)/Units</f>
        <v>0</v>
      </c>
      <c r="G86" s="194">
        <f>SUMIF(Pasíva!A:A,B86,Pasíva!H:H)/Units</f>
        <v>0</v>
      </c>
      <c r="H86" s="194">
        <f>SUMIF(Pasíva!A:A,B86,Pasíva!G:G)/Units</f>
        <v>0</v>
      </c>
      <c r="I86" s="195">
        <f>SUMIF(Pasíva!A:A,B86,Pasíva!F:F)/Units</f>
        <v>0</v>
      </c>
      <c r="K86" s="507" t="e">
        <f>E86/E$99</f>
        <v>#DIV/0!</v>
      </c>
      <c r="L86" s="508" t="e">
        <f t="shared" si="40"/>
        <v>#DIV/0!</v>
      </c>
      <c r="M86" s="508" t="e">
        <f>G86/G$99</f>
        <v>#DIV/0!</v>
      </c>
      <c r="N86" s="508" t="e">
        <f t="shared" si="40"/>
        <v>#DIV/0!</v>
      </c>
      <c r="O86" s="509" t="e">
        <f t="shared" si="40"/>
        <v>#DIV/0!</v>
      </c>
      <c r="P86" s="1048"/>
      <c r="Q86" s="1061"/>
      <c r="R86" s="508">
        <v>0</v>
      </c>
      <c r="S86" s="508">
        <v>-5.0306155791387863E-2</v>
      </c>
      <c r="T86" s="508">
        <v>-0.3481330780277645</v>
      </c>
      <c r="U86" s="509">
        <v>-0.53405544336331934</v>
      </c>
    </row>
    <row r="87" spans="2:21" ht="11.25" customHeight="1" x14ac:dyDescent="0.2">
      <c r="B87" s="274" t="s">
        <v>141</v>
      </c>
      <c r="C87" s="158" t="s">
        <v>819</v>
      </c>
      <c r="D87" s="158" t="s">
        <v>658</v>
      </c>
      <c r="E87" s="194">
        <f>SUMIF(Pasíva!A:A,B87,Pasíva!J:J)/Units</f>
        <v>0</v>
      </c>
      <c r="F87" s="194">
        <f>SUMIF(Pasíva!A:A,B87,Pasíva!I:I)/Units</f>
        <v>0</v>
      </c>
      <c r="G87" s="194">
        <f>SUMIF(Pasíva!A:A,B87,Pasíva!H:H)/Units</f>
        <v>0</v>
      </c>
      <c r="H87" s="194">
        <f>SUMIF(Pasíva!A:A,B87,Pasíva!G:G)/Units</f>
        <v>0</v>
      </c>
      <c r="I87" s="195">
        <f>SUMIF(Pasíva!A:A,B87,Pasíva!F:F)/Units</f>
        <v>0</v>
      </c>
      <c r="K87" s="507" t="e">
        <f t="shared" ref="K87:K99" si="41">E87/E$99</f>
        <v>#DIV/0!</v>
      </c>
      <c r="L87" s="508" t="e">
        <f t="shared" si="40"/>
        <v>#DIV/0!</v>
      </c>
      <c r="M87" s="508" t="e">
        <f t="shared" si="40"/>
        <v>#DIV/0!</v>
      </c>
      <c r="N87" s="508" t="e">
        <f t="shared" si="40"/>
        <v>#DIV/0!</v>
      </c>
      <c r="O87" s="509" t="e">
        <f t="shared" si="40"/>
        <v>#DIV/0!</v>
      </c>
      <c r="P87" s="1048"/>
      <c r="Q87" s="1061"/>
      <c r="R87" s="508">
        <v>0</v>
      </c>
      <c r="S87" s="508">
        <v>0</v>
      </c>
      <c r="T87" s="508">
        <v>0</v>
      </c>
      <c r="U87" s="509">
        <v>0</v>
      </c>
    </row>
    <row r="88" spans="2:21" ht="11.25" customHeight="1" x14ac:dyDescent="0.2">
      <c r="B88" s="274" t="s">
        <v>143</v>
      </c>
      <c r="C88" s="158" t="s">
        <v>820</v>
      </c>
      <c r="D88" s="158" t="s">
        <v>743</v>
      </c>
      <c r="E88" s="194">
        <f>SUMIF(Pasíva!A:A,B88,Pasíva!J:J)/Units</f>
        <v>0</v>
      </c>
      <c r="F88" s="194">
        <f>SUMIF(Pasíva!A:A,B88,Pasíva!I:I)/Units</f>
        <v>0</v>
      </c>
      <c r="G88" s="194">
        <f>SUMIF(Pasíva!A:A,B88,Pasíva!H:H)/Units</f>
        <v>0</v>
      </c>
      <c r="H88" s="194">
        <f>SUMIF(Pasíva!A:A,B88,Pasíva!G:G)/Units</f>
        <v>0</v>
      </c>
      <c r="I88" s="195">
        <f>SUMIF(Pasíva!A:A,B88,Pasíva!F:F)/Units</f>
        <v>0</v>
      </c>
      <c r="K88" s="507" t="e">
        <f t="shared" si="41"/>
        <v>#DIV/0!</v>
      </c>
      <c r="L88" s="508" t="e">
        <f t="shared" si="40"/>
        <v>#DIV/0!</v>
      </c>
      <c r="M88" s="508" t="e">
        <f t="shared" si="40"/>
        <v>#DIV/0!</v>
      </c>
      <c r="N88" s="508" t="e">
        <f t="shared" si="40"/>
        <v>#DIV/0!</v>
      </c>
      <c r="O88" s="509" t="e">
        <f t="shared" si="40"/>
        <v>#DIV/0!</v>
      </c>
      <c r="P88" s="1048"/>
      <c r="Q88" s="1061"/>
      <c r="R88" s="508">
        <v>0</v>
      </c>
      <c r="S88" s="508">
        <v>0</v>
      </c>
      <c r="T88" s="508">
        <v>0</v>
      </c>
      <c r="U88" s="509">
        <v>0</v>
      </c>
    </row>
    <row r="89" spans="2:21" ht="11.25" customHeight="1" x14ac:dyDescent="0.2">
      <c r="B89" s="274">
        <v>89</v>
      </c>
      <c r="C89" s="158" t="s">
        <v>821</v>
      </c>
      <c r="D89" s="158" t="s">
        <v>435</v>
      </c>
      <c r="E89" s="194">
        <f>SUMIF(Pasíva!A:A,B89,Pasíva!J:J)/Units</f>
        <v>0</v>
      </c>
      <c r="F89" s="194">
        <f>SUMIF(Pasíva!A:A,B89,Pasíva!I:I)/Units</f>
        <v>0</v>
      </c>
      <c r="G89" s="194">
        <f>SUMIF(Pasíva!A:A,B89,Pasíva!H:H)/Units</f>
        <v>0</v>
      </c>
      <c r="H89" s="194">
        <f>SUMIF(Pasíva!A:A,B89,Pasíva!G:G)/Units</f>
        <v>0</v>
      </c>
      <c r="I89" s="195">
        <f>SUMIF(Pasíva!A:A,B89,Pasíva!F:F)/Units</f>
        <v>0</v>
      </c>
      <c r="K89" s="1064" t="e">
        <f t="shared" si="41"/>
        <v>#DIV/0!</v>
      </c>
      <c r="L89" s="1065" t="e">
        <f t="shared" si="40"/>
        <v>#DIV/0!</v>
      </c>
      <c r="M89" s="1065" t="e">
        <f t="shared" si="40"/>
        <v>#DIV/0!</v>
      </c>
      <c r="N89" s="1065" t="e">
        <f t="shared" si="40"/>
        <v>#DIV/0!</v>
      </c>
      <c r="O89" s="1066" t="e">
        <f t="shared" si="40"/>
        <v>#DIV/0!</v>
      </c>
      <c r="P89" s="1048"/>
      <c r="Q89" s="1061"/>
      <c r="R89" s="508">
        <v>-0.30432573347472602</v>
      </c>
      <c r="S89" s="508">
        <v>-0.27482612975959864</v>
      </c>
      <c r="T89" s="508">
        <v>-0.40556163783665422</v>
      </c>
      <c r="U89" s="509">
        <v>2.7667599823191393</v>
      </c>
    </row>
    <row r="90" spans="2:21" ht="11.25" customHeight="1" x14ac:dyDescent="0.2">
      <c r="B90" s="274"/>
      <c r="C90" s="269"/>
      <c r="D90" s="269"/>
      <c r="E90" s="198">
        <f>SUM(E85:E89)</f>
        <v>0</v>
      </c>
      <c r="F90" s="198">
        <f>SUM(F85:F89)</f>
        <v>0</v>
      </c>
      <c r="G90" s="198">
        <f>SUM(G85:G89)</f>
        <v>0</v>
      </c>
      <c r="H90" s="198">
        <f>SUM(H85:H89)</f>
        <v>0</v>
      </c>
      <c r="I90" s="199">
        <f>SUM(I85:I89)</f>
        <v>0</v>
      </c>
      <c r="K90" s="519" t="e">
        <f t="shared" si="41"/>
        <v>#DIV/0!</v>
      </c>
      <c r="L90" s="520" t="e">
        <f t="shared" si="40"/>
        <v>#DIV/0!</v>
      </c>
      <c r="M90" s="520" t="e">
        <f t="shared" si="40"/>
        <v>#DIV/0!</v>
      </c>
      <c r="N90" s="520" t="e">
        <f t="shared" si="40"/>
        <v>#DIV/0!</v>
      </c>
      <c r="O90" s="521" t="e">
        <f t="shared" si="40"/>
        <v>#DIV/0!</v>
      </c>
      <c r="P90" s="1048"/>
      <c r="Q90" s="1062"/>
      <c r="R90" s="520">
        <v>2.8058280311063979</v>
      </c>
      <c r="S90" s="520">
        <v>-9.1346572471802445E-2</v>
      </c>
      <c r="T90" s="520">
        <v>-0.35651085088576706</v>
      </c>
      <c r="U90" s="521">
        <v>-8.9232174413756082E-2</v>
      </c>
    </row>
    <row r="91" spans="2:21" ht="11.25" customHeight="1" x14ac:dyDescent="0.2">
      <c r="B91" s="274"/>
      <c r="C91" s="157" t="s">
        <v>822</v>
      </c>
      <c r="D91" s="157" t="s">
        <v>137</v>
      </c>
      <c r="I91" s="275"/>
      <c r="K91" s="507" t="e">
        <f t="shared" si="41"/>
        <v>#DIV/0!</v>
      </c>
      <c r="L91" s="508" t="e">
        <f t="shared" si="40"/>
        <v>#DIV/0!</v>
      </c>
      <c r="M91" s="508" t="e">
        <f t="shared" si="40"/>
        <v>#DIV/0!</v>
      </c>
      <c r="N91" s="508" t="e">
        <f t="shared" si="40"/>
        <v>#DIV/0!</v>
      </c>
      <c r="O91" s="509" t="e">
        <f t="shared" si="40"/>
        <v>#DIV/0!</v>
      </c>
      <c r="P91" s="1048"/>
      <c r="Q91" s="1049"/>
      <c r="R91" s="508"/>
      <c r="S91" s="508"/>
      <c r="T91" s="508"/>
      <c r="U91" s="509"/>
    </row>
    <row r="92" spans="2:21" ht="11.25" customHeight="1" x14ac:dyDescent="0.2">
      <c r="B92" s="274" t="s">
        <v>16</v>
      </c>
      <c r="C92" s="158" t="s">
        <v>38</v>
      </c>
      <c r="D92" s="158" t="s">
        <v>138</v>
      </c>
      <c r="E92" s="194">
        <f>SUMIF(Pasíva!A:A,B92,Pasíva!J:J)/Units</f>
        <v>0</v>
      </c>
      <c r="F92" s="194">
        <f>SUMIF(Pasíva!A:A,B92,Pasíva!I:I)/Units</f>
        <v>0</v>
      </c>
      <c r="G92" s="194">
        <f>SUMIF(Pasíva!A:A,B92,Pasíva!H:H)/Units</f>
        <v>0</v>
      </c>
      <c r="H92" s="194">
        <f>SUMIF(Pasíva!A:A,B92,Pasíva!G:G)/Units</f>
        <v>0</v>
      </c>
      <c r="I92" s="195">
        <f>SUMIF(Pasíva!A:A,B92,Pasíva!F:F)/Units</f>
        <v>0</v>
      </c>
      <c r="K92" s="507" t="e">
        <f t="shared" si="41"/>
        <v>#DIV/0!</v>
      </c>
      <c r="L92" s="508" t="e">
        <f t="shared" si="40"/>
        <v>#DIV/0!</v>
      </c>
      <c r="M92" s="508" t="e">
        <f t="shared" si="40"/>
        <v>#DIV/0!</v>
      </c>
      <c r="N92" s="508" t="e">
        <f t="shared" si="40"/>
        <v>#DIV/0!</v>
      </c>
      <c r="O92" s="509" t="e">
        <f t="shared" si="40"/>
        <v>#DIV/0!</v>
      </c>
      <c r="P92" s="1048"/>
      <c r="Q92" s="1061"/>
      <c r="R92" s="508">
        <v>0.41428527151004224</v>
      </c>
      <c r="S92" s="508">
        <v>-0.20695587381247194</v>
      </c>
      <c r="T92" s="508">
        <v>0.19523585818111466</v>
      </c>
      <c r="U92" s="709">
        <v>1.3216614260612225</v>
      </c>
    </row>
    <row r="93" spans="2:21" ht="11.25" customHeight="1" x14ac:dyDescent="0.2">
      <c r="B93" s="274">
        <v>91</v>
      </c>
      <c r="C93" s="158" t="s">
        <v>150</v>
      </c>
      <c r="D93" s="158" t="s">
        <v>660</v>
      </c>
      <c r="E93" s="194">
        <f>SUMIF(Pasíva!A:A,B93,Pasíva!J:J)/Units</f>
        <v>0</v>
      </c>
      <c r="F93" s="194">
        <f>SUMIF(Pasíva!A:A,B93,Pasíva!I:I)/Units</f>
        <v>0</v>
      </c>
      <c r="G93" s="194">
        <f>SUMIF(Pasíva!A:A,B93,Pasíva!H:H)/Units</f>
        <v>0</v>
      </c>
      <c r="H93" s="194">
        <f>SUMIF(Pasíva!A:A,B93,Pasíva!G:G)/Units</f>
        <v>0</v>
      </c>
      <c r="I93" s="195">
        <f>SUMIF(Pasíva!A:A,B93,Pasíva!F:F)/Units</f>
        <v>0</v>
      </c>
      <c r="K93" s="507" t="e">
        <f t="shared" si="41"/>
        <v>#DIV/0!</v>
      </c>
      <c r="L93" s="508" t="e">
        <f t="shared" si="40"/>
        <v>#DIV/0!</v>
      </c>
      <c r="M93" s="508" t="e">
        <f t="shared" si="40"/>
        <v>#DIV/0!</v>
      </c>
      <c r="N93" s="508" t="e">
        <f t="shared" si="40"/>
        <v>#DIV/0!</v>
      </c>
      <c r="O93" s="509" t="e">
        <f t="shared" si="40"/>
        <v>#DIV/0!</v>
      </c>
      <c r="P93" s="1048"/>
      <c r="Q93" s="1061"/>
      <c r="R93" s="508">
        <v>-0.29738614819894316</v>
      </c>
      <c r="S93" s="508">
        <v>0.46057831233075941</v>
      </c>
      <c r="T93" s="508">
        <v>5.6810997959337417E-2</v>
      </c>
      <c r="U93" s="509">
        <v>0.4894819874967844</v>
      </c>
    </row>
    <row r="94" spans="2:21" ht="11.25" customHeight="1" x14ac:dyDescent="0.2">
      <c r="B94" s="274" t="s">
        <v>146</v>
      </c>
      <c r="C94" s="158" t="s">
        <v>819</v>
      </c>
      <c r="D94" s="158" t="s">
        <v>659</v>
      </c>
      <c r="E94" s="194">
        <f>SUMIF(Pasíva!A:A,B94,Pasíva!J:J)/Units</f>
        <v>0</v>
      </c>
      <c r="F94" s="194">
        <f>SUMIF(Pasíva!A:A,B94,Pasíva!I:I)/Units</f>
        <v>0</v>
      </c>
      <c r="G94" s="194">
        <f>SUMIF(Pasíva!A:A,B94,Pasíva!H:H)/Units</f>
        <v>0</v>
      </c>
      <c r="H94" s="194">
        <f>SUMIF(Pasíva!A:A,B94,Pasíva!G:G)/Units</f>
        <v>0</v>
      </c>
      <c r="I94" s="195">
        <f>SUMIF(Pasíva!A:A,B94,Pasíva!F:F)/Units</f>
        <v>0</v>
      </c>
      <c r="K94" s="507" t="e">
        <f t="shared" si="41"/>
        <v>#DIV/0!</v>
      </c>
      <c r="L94" s="508" t="e">
        <f t="shared" si="40"/>
        <v>#DIV/0!</v>
      </c>
      <c r="M94" s="508" t="e">
        <f t="shared" si="40"/>
        <v>#DIV/0!</v>
      </c>
      <c r="N94" s="508" t="e">
        <f t="shared" si="40"/>
        <v>#DIV/0!</v>
      </c>
      <c r="O94" s="509" t="e">
        <f t="shared" si="40"/>
        <v>#DIV/0!</v>
      </c>
      <c r="P94" s="1048"/>
      <c r="Q94" s="1061"/>
      <c r="R94" s="508">
        <v>0</v>
      </c>
      <c r="S94" s="508">
        <v>-0.82244638135344239</v>
      </c>
      <c r="T94" s="508">
        <v>-0.13761720904578045</v>
      </c>
      <c r="U94" s="509">
        <v>0</v>
      </c>
    </row>
    <row r="95" spans="2:21" ht="11.25" customHeight="1" x14ac:dyDescent="0.2">
      <c r="B95" s="274" t="s">
        <v>149</v>
      </c>
      <c r="C95" s="158" t="s">
        <v>820</v>
      </c>
      <c r="D95" s="158" t="s">
        <v>742</v>
      </c>
      <c r="E95" s="194">
        <f>SUMIF(Pasíva!A:A,B95,Pasíva!J:J)/Units</f>
        <v>0</v>
      </c>
      <c r="F95" s="194">
        <f>SUMIF(Pasíva!A:A,B95,Pasíva!I:I)/Units</f>
        <v>0</v>
      </c>
      <c r="G95" s="194">
        <f>SUMIF(Pasíva!A:A,B95,Pasíva!H:H)/Units</f>
        <v>0</v>
      </c>
      <c r="H95" s="194">
        <f>SUMIF(Pasíva!A:A,B95,Pasíva!G:G)/Units</f>
        <v>0</v>
      </c>
      <c r="I95" s="195">
        <f>SUMIF(Pasíva!A:A,B95,Pasíva!F:F)/Units</f>
        <v>0</v>
      </c>
      <c r="K95" s="507" t="e">
        <f t="shared" si="41"/>
        <v>#DIV/0!</v>
      </c>
      <c r="L95" s="508" t="e">
        <f t="shared" si="40"/>
        <v>#DIV/0!</v>
      </c>
      <c r="M95" s="508" t="e">
        <f t="shared" si="40"/>
        <v>#DIV/0!</v>
      </c>
      <c r="N95" s="508" t="e">
        <f t="shared" si="40"/>
        <v>#DIV/0!</v>
      </c>
      <c r="O95" s="509" t="e">
        <f t="shared" si="40"/>
        <v>#DIV/0!</v>
      </c>
      <c r="P95" s="1048"/>
      <c r="Q95" s="1061"/>
      <c r="R95" s="508">
        <v>0.33037738701063124</v>
      </c>
      <c r="S95" s="508">
        <v>-0.17667777609453117</v>
      </c>
      <c r="T95" s="508">
        <v>8.5284511707070187E-2</v>
      </c>
      <c r="U95" s="509">
        <v>0.19323528165133719</v>
      </c>
    </row>
    <row r="96" spans="2:21" ht="11.25" customHeight="1" x14ac:dyDescent="0.2">
      <c r="B96" s="274">
        <v>90</v>
      </c>
      <c r="C96" s="158" t="s">
        <v>823</v>
      </c>
      <c r="D96" s="158" t="s">
        <v>661</v>
      </c>
      <c r="E96" s="194">
        <f>SUMIF(Pasíva!A:A,B96,Pasíva!J:J)/Units</f>
        <v>0</v>
      </c>
      <c r="F96" s="194">
        <f>SUMIF(Pasíva!A:A,B96,Pasíva!I:I)/Units</f>
        <v>0</v>
      </c>
      <c r="G96" s="194">
        <f>SUMIF(Pasíva!A:A,B96,Pasíva!H:H)/Units</f>
        <v>0</v>
      </c>
      <c r="H96" s="194">
        <f>SUMIF(Pasíva!A:A,B96,Pasíva!G:G)/Units</f>
        <v>0</v>
      </c>
      <c r="I96" s="195">
        <f>SUMIF(Pasíva!A:A,B96,Pasíva!F:F)/Units</f>
        <v>0</v>
      </c>
      <c r="K96" s="718" t="e">
        <f t="shared" si="41"/>
        <v>#DIV/0!</v>
      </c>
      <c r="L96" s="711" t="e">
        <f t="shared" si="40"/>
        <v>#DIV/0!</v>
      </c>
      <c r="M96" s="711" t="e">
        <f t="shared" si="40"/>
        <v>#DIV/0!</v>
      </c>
      <c r="N96" s="711" t="e">
        <f t="shared" si="40"/>
        <v>#DIV/0!</v>
      </c>
      <c r="O96" s="719" t="e">
        <f t="shared" si="40"/>
        <v>#DIV/0!</v>
      </c>
      <c r="P96" s="1048"/>
      <c r="Q96" s="1061"/>
      <c r="R96" s="508">
        <v>-0.1702459064270555</v>
      </c>
      <c r="S96" s="508">
        <v>-8.232630171058497E-2</v>
      </c>
      <c r="T96" s="508">
        <v>5.1983584131326976E-2</v>
      </c>
      <c r="U96" s="509">
        <v>0.25120620298239005</v>
      </c>
    </row>
    <row r="97" spans="1:21" ht="11.25" customHeight="1" x14ac:dyDescent="0.2">
      <c r="B97" s="274"/>
      <c r="C97" s="286"/>
      <c r="D97" s="286"/>
      <c r="E97" s="198">
        <f>SUM(E92:E96)</f>
        <v>0</v>
      </c>
      <c r="F97" s="198">
        <f>SUM(F92:F96)</f>
        <v>0</v>
      </c>
      <c r="G97" s="198">
        <f>SUM(G92:G96)</f>
        <v>0</v>
      </c>
      <c r="H97" s="198">
        <f>SUM(H92:H96)</f>
        <v>0</v>
      </c>
      <c r="I97" s="199">
        <f>SUM(I92:I96)</f>
        <v>0</v>
      </c>
      <c r="K97" s="722" t="e">
        <f t="shared" si="41"/>
        <v>#DIV/0!</v>
      </c>
      <c r="L97" s="723" t="e">
        <f t="shared" si="40"/>
        <v>#DIV/0!</v>
      </c>
      <c r="M97" s="723" t="e">
        <f t="shared" si="40"/>
        <v>#DIV/0!</v>
      </c>
      <c r="N97" s="723" t="e">
        <f t="shared" si="40"/>
        <v>#DIV/0!</v>
      </c>
      <c r="O97" s="724" t="e">
        <f t="shared" si="40"/>
        <v>#DIV/0!</v>
      </c>
      <c r="P97" s="1048"/>
      <c r="Q97" s="1062"/>
      <c r="R97" s="520">
        <v>-0.10781507628113718</v>
      </c>
      <c r="S97" s="520">
        <v>0.11311851932377759</v>
      </c>
      <c r="T97" s="520">
        <v>7.6665094369027242E-2</v>
      </c>
      <c r="U97" s="521">
        <v>0.57413190155632421</v>
      </c>
    </row>
    <row r="98" spans="1:21" ht="11.25" customHeight="1" x14ac:dyDescent="0.2">
      <c r="B98" s="274">
        <v>92</v>
      </c>
      <c r="C98" s="287" t="s">
        <v>814</v>
      </c>
      <c r="D98" s="287" t="s">
        <v>662</v>
      </c>
      <c r="E98" s="267">
        <f>SUMIF(Pasíva!A:A,B98,Pasíva!J:J)/Units</f>
        <v>0</v>
      </c>
      <c r="F98" s="267">
        <f>SUMIF(Pasíva!A:A,B98,Pasíva!I:I)/Units</f>
        <v>0</v>
      </c>
      <c r="G98" s="267">
        <f>SUMIF(Pasíva!A:A,B98,Pasíva!H:H)/Units</f>
        <v>0</v>
      </c>
      <c r="H98" s="267">
        <f>SUMIF(Pasíva!A:A,B98,Pasíva!G:G)/Units</f>
        <v>0</v>
      </c>
      <c r="I98" s="268">
        <f>SUMIF(Pasíva!A:A,B98,Pasíva!F:F)/Units</f>
        <v>0</v>
      </c>
      <c r="K98" s="729" t="e">
        <f t="shared" si="41"/>
        <v>#DIV/0!</v>
      </c>
      <c r="L98" s="730" t="e">
        <f t="shared" si="40"/>
        <v>#DIV/0!</v>
      </c>
      <c r="M98" s="730" t="e">
        <f t="shared" si="40"/>
        <v>#DIV/0!</v>
      </c>
      <c r="N98" s="730" t="e">
        <f t="shared" si="40"/>
        <v>#DIV/0!</v>
      </c>
      <c r="O98" s="731" t="e">
        <f t="shared" si="40"/>
        <v>#DIV/0!</v>
      </c>
      <c r="P98" s="1048"/>
      <c r="Q98" s="1067"/>
      <c r="R98" s="730">
        <v>-1</v>
      </c>
      <c r="S98" s="730">
        <v>0</v>
      </c>
      <c r="T98" s="730">
        <v>0</v>
      </c>
      <c r="U98" s="731">
        <v>0</v>
      </c>
    </row>
    <row r="99" spans="1:21" ht="11.25" customHeight="1" thickBot="1" x14ac:dyDescent="0.25">
      <c r="B99" s="274"/>
      <c r="C99" s="156" t="s">
        <v>824</v>
      </c>
      <c r="D99" s="156" t="s">
        <v>663</v>
      </c>
      <c r="E99" s="198">
        <f>E90+E97+E98</f>
        <v>0</v>
      </c>
      <c r="F99" s="198">
        <f>F90+F97+F98</f>
        <v>0</v>
      </c>
      <c r="G99" s="198">
        <f>G90+G97+G98</f>
        <v>0</v>
      </c>
      <c r="H99" s="198">
        <f>H90+H97+H98</f>
        <v>0</v>
      </c>
      <c r="I99" s="199">
        <f>I90+I97+I98</f>
        <v>0</v>
      </c>
      <c r="K99" s="519" t="e">
        <f t="shared" si="41"/>
        <v>#DIV/0!</v>
      </c>
      <c r="L99" s="520" t="e">
        <f t="shared" si="40"/>
        <v>#DIV/0!</v>
      </c>
      <c r="M99" s="520" t="e">
        <f t="shared" si="40"/>
        <v>#DIV/0!</v>
      </c>
      <c r="N99" s="520" t="e">
        <f t="shared" si="40"/>
        <v>#DIV/0!</v>
      </c>
      <c r="O99" s="521" t="e">
        <f t="shared" si="40"/>
        <v>#DIV/0!</v>
      </c>
      <c r="P99" s="1048"/>
      <c r="Q99" s="1068"/>
      <c r="R99" s="733">
        <v>0.14108146160190382</v>
      </c>
      <c r="S99" s="733">
        <v>5.4861811746415023E-2</v>
      </c>
      <c r="T99" s="733">
        <v>-2.964972247483455E-2</v>
      </c>
      <c r="U99" s="734">
        <v>0.46616413786417188</v>
      </c>
    </row>
    <row r="100" spans="1:21" ht="11.25" customHeight="1" x14ac:dyDescent="0.2">
      <c r="B100" s="274"/>
      <c r="C100" s="154" t="s">
        <v>10</v>
      </c>
      <c r="D100" s="154" t="s">
        <v>128</v>
      </c>
      <c r="E100" s="212"/>
      <c r="F100" s="212"/>
      <c r="G100" s="212"/>
      <c r="H100" s="212"/>
      <c r="I100" s="213"/>
      <c r="K100" s="1069"/>
      <c r="L100" s="1070"/>
      <c r="M100" s="1070"/>
      <c r="N100" s="1070"/>
      <c r="O100" s="1071"/>
      <c r="P100" s="1048"/>
      <c r="Q100" s="1072"/>
      <c r="R100" s="1073"/>
      <c r="S100" s="1073"/>
      <c r="T100" s="1073"/>
      <c r="U100" s="1074"/>
    </row>
    <row r="101" spans="1:21" ht="11.25" customHeight="1" x14ac:dyDescent="0.2">
      <c r="B101" s="274">
        <v>80</v>
      </c>
      <c r="C101" s="284" t="s">
        <v>11</v>
      </c>
      <c r="D101" s="284" t="s">
        <v>130</v>
      </c>
      <c r="E101" s="194">
        <f>SUMIF(Pasíva!A:A,B101,Pasíva!J:J)/Units</f>
        <v>0</v>
      </c>
      <c r="F101" s="194">
        <f>SUMIF(Pasíva!A:A,B101,Pasíva!I:I)/Units</f>
        <v>0</v>
      </c>
      <c r="G101" s="194">
        <f>SUMIF(Pasíva!A:A,B101,Pasíva!H:H)/Units</f>
        <v>0</v>
      </c>
      <c r="H101" s="194">
        <f>SUMIF(Pasíva!A:A,B101,Pasíva!G:G)/Units</f>
        <v>0</v>
      </c>
      <c r="I101" s="195">
        <f>SUMIF(Pasíva!A:A,B101,Pasíva!F:F)/Units</f>
        <v>0</v>
      </c>
      <c r="K101" s="1051" t="e">
        <f>E101/E$106</f>
        <v>#DIV/0!</v>
      </c>
      <c r="L101" s="727" t="e">
        <f t="shared" ref="L101:O105" si="42">F101/F$106</f>
        <v>#DIV/0!</v>
      </c>
      <c r="M101" s="727" t="e">
        <f t="shared" si="42"/>
        <v>#DIV/0!</v>
      </c>
      <c r="N101" s="727" t="e">
        <f t="shared" si="42"/>
        <v>#DIV/0!</v>
      </c>
      <c r="O101" s="728" t="e">
        <f t="shared" si="42"/>
        <v>#DIV/0!</v>
      </c>
      <c r="P101" s="1048"/>
      <c r="Q101" s="1061"/>
      <c r="R101" s="508">
        <v>0</v>
      </c>
      <c r="S101" s="508">
        <v>0</v>
      </c>
      <c r="T101" s="508">
        <v>-8.3316603091748709E-3</v>
      </c>
      <c r="U101" s="509">
        <v>0</v>
      </c>
    </row>
    <row r="102" spans="1:21" ht="11.25" customHeight="1" x14ac:dyDescent="0.2">
      <c r="B102" s="274">
        <v>83</v>
      </c>
      <c r="C102" s="155" t="s">
        <v>12</v>
      </c>
      <c r="D102" s="155" t="s">
        <v>650</v>
      </c>
      <c r="E102" s="194">
        <f>SUMIF(Pasíva!A:A,B102,Pasíva!J:J)/Units</f>
        <v>0</v>
      </c>
      <c r="F102" s="194">
        <f>SUMIF(Pasíva!A:A,B102,Pasíva!I:I)/Units</f>
        <v>0</v>
      </c>
      <c r="G102" s="194">
        <f>SUMIF(Pasíva!A:A,B102,Pasíva!H:H)/Units</f>
        <v>0</v>
      </c>
      <c r="H102" s="194">
        <f>SUMIF(Pasíva!A:A,B102,Pasíva!G:G)/Units</f>
        <v>0</v>
      </c>
      <c r="I102" s="195">
        <f>SUMIF(Pasíva!A:A,B102,Pasíva!F:F)/Units</f>
        <v>0</v>
      </c>
      <c r="J102" s="172"/>
      <c r="K102" s="507" t="e">
        <f t="shared" ref="K102:K105" si="43">E102/E$106</f>
        <v>#DIV/0!</v>
      </c>
      <c r="L102" s="508" t="e">
        <f t="shared" si="42"/>
        <v>#DIV/0!</v>
      </c>
      <c r="M102" s="508" t="e">
        <f t="shared" si="42"/>
        <v>#DIV/0!</v>
      </c>
      <c r="N102" s="508" t="e">
        <f t="shared" si="42"/>
        <v>#DIV/0!</v>
      </c>
      <c r="O102" s="509" t="e">
        <f t="shared" si="42"/>
        <v>#DIV/0!</v>
      </c>
      <c r="P102" s="1048"/>
      <c r="Q102" s="1061"/>
      <c r="R102" s="508">
        <v>0</v>
      </c>
      <c r="S102" s="508">
        <v>0</v>
      </c>
      <c r="T102" s="508">
        <v>0</v>
      </c>
      <c r="U102" s="509">
        <v>0</v>
      </c>
    </row>
    <row r="103" spans="1:21" ht="11.25" customHeight="1" x14ac:dyDescent="0.2">
      <c r="B103" s="274">
        <v>84</v>
      </c>
      <c r="C103" s="284" t="s">
        <v>13</v>
      </c>
      <c r="D103" s="284" t="s">
        <v>651</v>
      </c>
      <c r="E103" s="194">
        <f>SUMIF(Pasíva!A:A,B103,Pasíva!J:J)/Units</f>
        <v>0</v>
      </c>
      <c r="F103" s="194">
        <f>SUMIF(Pasíva!A:A,B103,Pasíva!I:I)/Units</f>
        <v>0</v>
      </c>
      <c r="G103" s="194">
        <f>SUMIF(Pasíva!A:A,B103,Pasíva!H:H)/Units</f>
        <v>0</v>
      </c>
      <c r="H103" s="194">
        <f>SUMIF(Pasíva!A:A,B103,Pasíva!G:G)/Units</f>
        <v>0</v>
      </c>
      <c r="I103" s="195">
        <f>SUMIF(Pasíva!A:A,B103,Pasíva!F:F)/Units</f>
        <v>0</v>
      </c>
      <c r="K103" s="507" t="e">
        <f t="shared" si="43"/>
        <v>#DIV/0!</v>
      </c>
      <c r="L103" s="508" t="e">
        <f t="shared" si="42"/>
        <v>#DIV/0!</v>
      </c>
      <c r="M103" s="508" t="e">
        <f t="shared" si="42"/>
        <v>#DIV/0!</v>
      </c>
      <c r="N103" s="508" t="e">
        <f t="shared" si="42"/>
        <v>#DIV/0!</v>
      </c>
      <c r="O103" s="509" t="e">
        <f t="shared" si="42"/>
        <v>#DIV/0!</v>
      </c>
      <c r="P103" s="1048"/>
      <c r="Q103" s="1061"/>
      <c r="R103" s="508">
        <v>-0.1366485582950272</v>
      </c>
      <c r="S103" s="508">
        <v>3.913013414465496</v>
      </c>
      <c r="T103" s="508">
        <v>0.61359286156617698</v>
      </c>
      <c r="U103" s="509">
        <v>0.5375275841917504</v>
      </c>
    </row>
    <row r="104" spans="1:21" ht="11.25" customHeight="1" x14ac:dyDescent="0.2">
      <c r="B104" s="274"/>
      <c r="C104" s="288" t="s">
        <v>815</v>
      </c>
      <c r="D104" s="288" t="s">
        <v>653</v>
      </c>
      <c r="E104" s="194">
        <f>E43</f>
        <v>0</v>
      </c>
      <c r="F104" s="194">
        <f>F43</f>
        <v>0</v>
      </c>
      <c r="G104" s="194">
        <f>G43</f>
        <v>0</v>
      </c>
      <c r="H104" s="194">
        <f>H43</f>
        <v>0</v>
      </c>
      <c r="I104" s="195">
        <f>I43</f>
        <v>0</v>
      </c>
      <c r="K104" s="718" t="e">
        <f t="shared" si="43"/>
        <v>#DIV/0!</v>
      </c>
      <c r="L104" s="711" t="e">
        <f t="shared" si="42"/>
        <v>#DIV/0!</v>
      </c>
      <c r="M104" s="711" t="e">
        <f t="shared" si="42"/>
        <v>#DIV/0!</v>
      </c>
      <c r="N104" s="711" t="e">
        <f t="shared" si="42"/>
        <v>#DIV/0!</v>
      </c>
      <c r="O104" s="719" t="e">
        <f t="shared" si="42"/>
        <v>#DIV/0!</v>
      </c>
      <c r="P104" s="1048"/>
      <c r="Q104" s="1061"/>
      <c r="R104" s="508">
        <v>2.1208294270115258</v>
      </c>
      <c r="S104" s="508">
        <v>-0.2296165400247393</v>
      </c>
      <c r="T104" s="508">
        <v>0.41361592806679504</v>
      </c>
      <c r="U104" s="509">
        <v>-2.9246121892646197</v>
      </c>
    </row>
    <row r="105" spans="1:21" ht="11.25" customHeight="1" x14ac:dyDescent="0.2">
      <c r="B105" s="274"/>
      <c r="C105" s="156"/>
      <c r="D105" s="156"/>
      <c r="E105" s="198">
        <f>SUM(E101:E104)</f>
        <v>0</v>
      </c>
      <c r="F105" s="198">
        <f>SUM(F101:F104)</f>
        <v>0</v>
      </c>
      <c r="G105" s="198">
        <f>SUM(G101:G104)</f>
        <v>0</v>
      </c>
      <c r="H105" s="198">
        <f>SUM(H101:H104)</f>
        <v>0</v>
      </c>
      <c r="I105" s="199">
        <f>SUM(I101:I104)</f>
        <v>0</v>
      </c>
      <c r="K105" s="722" t="e">
        <f t="shared" si="43"/>
        <v>#DIV/0!</v>
      </c>
      <c r="L105" s="723" t="e">
        <f t="shared" si="42"/>
        <v>#DIV/0!</v>
      </c>
      <c r="M105" s="723" t="e">
        <f t="shared" si="42"/>
        <v>#DIV/0!</v>
      </c>
      <c r="N105" s="723" t="e">
        <f t="shared" si="42"/>
        <v>#DIV/0!</v>
      </c>
      <c r="O105" s="724" t="e">
        <f t="shared" si="42"/>
        <v>#DIV/0!</v>
      </c>
      <c r="P105" s="1048"/>
      <c r="Q105" s="1062"/>
      <c r="R105" s="520">
        <v>3.4296247970748484E-2</v>
      </c>
      <c r="S105" s="520">
        <v>3.9969048649362238E-2</v>
      </c>
      <c r="T105" s="520">
        <v>5.403759014052234E-2</v>
      </c>
      <c r="U105" s="521">
        <v>-9.9203186251345499E-2</v>
      </c>
    </row>
    <row r="106" spans="1:21" ht="11.25" customHeight="1" thickBot="1" x14ac:dyDescent="0.25">
      <c r="A106" s="273"/>
      <c r="C106" s="159" t="s">
        <v>825</v>
      </c>
      <c r="D106" s="159" t="s">
        <v>665</v>
      </c>
      <c r="E106" s="200">
        <f>E99+E105</f>
        <v>0</v>
      </c>
      <c r="F106" s="200">
        <f>F99+F105</f>
        <v>0</v>
      </c>
      <c r="G106" s="200">
        <f>G99+G105</f>
        <v>0</v>
      </c>
      <c r="H106" s="200">
        <f>H99+H105</f>
        <v>0</v>
      </c>
      <c r="I106" s="201">
        <f>I99+I105</f>
        <v>0</v>
      </c>
      <c r="J106" s="283"/>
      <c r="K106" s="1075">
        <v>1</v>
      </c>
      <c r="L106" s="1076">
        <v>1</v>
      </c>
      <c r="M106" s="1076">
        <v>1</v>
      </c>
      <c r="N106" s="1076">
        <v>1</v>
      </c>
      <c r="O106" s="1077">
        <v>1</v>
      </c>
      <c r="P106" s="1048"/>
      <c r="Q106" s="1078"/>
      <c r="R106" s="1079">
        <v>7.0006746893052529E-2</v>
      </c>
      <c r="S106" s="1079">
        <v>4.5280218762571156E-2</v>
      </c>
      <c r="T106" s="1079">
        <v>2.3918809109992445E-2</v>
      </c>
      <c r="U106" s="1080">
        <v>9.3625431039946472E-2</v>
      </c>
    </row>
    <row r="107" spans="1:21" x14ac:dyDescent="0.2">
      <c r="K107" s="273"/>
      <c r="L107" s="273"/>
      <c r="M107" s="273"/>
      <c r="N107" s="273"/>
      <c r="O107" s="273"/>
      <c r="P107" s="273"/>
      <c r="Q107" s="273"/>
      <c r="R107" s="273"/>
      <c r="S107" s="273"/>
      <c r="T107" s="273"/>
      <c r="U107" s="273"/>
    </row>
    <row r="108" spans="1:21" ht="11.25" customHeight="1" x14ac:dyDescent="0.2">
      <c r="B108" s="175"/>
      <c r="C108" s="86" t="s">
        <v>590</v>
      </c>
      <c r="D108" s="86"/>
      <c r="E108" s="457">
        <f>E82-E106</f>
        <v>0</v>
      </c>
      <c r="F108" s="457">
        <f>F82-F106</f>
        <v>0</v>
      </c>
      <c r="G108" s="457">
        <f>G82-G106</f>
        <v>0</v>
      </c>
      <c r="H108" s="457">
        <f>H82-H106</f>
        <v>0</v>
      </c>
      <c r="I108" s="457">
        <f>I82-I106</f>
        <v>0</v>
      </c>
      <c r="K108" s="273"/>
      <c r="L108" s="273"/>
      <c r="M108" s="273"/>
      <c r="N108" s="273"/>
      <c r="O108" s="273"/>
      <c r="P108" s="273"/>
      <c r="Q108" s="273"/>
      <c r="R108" s="273"/>
      <c r="S108" s="273"/>
      <c r="T108" s="273"/>
      <c r="U108" s="273"/>
    </row>
    <row r="109" spans="1:21" ht="11.25" customHeight="1" x14ac:dyDescent="0.2">
      <c r="C109" s="86"/>
      <c r="D109" s="86"/>
      <c r="E109" s="86"/>
      <c r="F109" s="86"/>
      <c r="G109" s="86"/>
      <c r="H109" s="86"/>
      <c r="I109" s="86"/>
      <c r="K109" s="273"/>
      <c r="L109" s="273"/>
      <c r="M109" s="273"/>
      <c r="N109" s="273"/>
      <c r="O109" s="273"/>
      <c r="P109" s="273"/>
      <c r="Q109" s="273"/>
      <c r="R109" s="273"/>
      <c r="S109" s="273"/>
      <c r="T109" s="273"/>
      <c r="U109" s="273"/>
    </row>
    <row r="110" spans="1:21" ht="19.5" customHeight="1" x14ac:dyDescent="0.2">
      <c r="C110" s="160" t="s">
        <v>826</v>
      </c>
      <c r="D110" s="160" t="s">
        <v>681</v>
      </c>
      <c r="E110" s="161"/>
      <c r="F110" s="161"/>
      <c r="G110" s="161"/>
      <c r="H110" s="161"/>
      <c r="I110" s="162"/>
      <c r="K110" s="273"/>
      <c r="L110" s="273"/>
      <c r="M110" s="273"/>
      <c r="N110" s="273"/>
      <c r="O110" s="273"/>
      <c r="P110" s="273"/>
      <c r="Q110" s="273"/>
      <c r="R110" s="273"/>
      <c r="S110" s="273"/>
      <c r="T110" s="273"/>
      <c r="U110" s="273"/>
    </row>
    <row r="111" spans="1:21" ht="11.25" customHeight="1" x14ac:dyDescent="0.2">
      <c r="C111" s="163" t="str">
        <f>'Detailné výkazy'!C7</f>
        <v xml:space="preserve">€  </v>
      </c>
      <c r="D111" s="163" t="str">
        <f>'Detailné výkazy'!C7</f>
        <v xml:space="preserve">€  </v>
      </c>
      <c r="E111" s="241" t="str">
        <f>'Detailné výkazy'!E7</f>
        <v>FY19</v>
      </c>
      <c r="F111" s="241" t="str">
        <f>'Detailné výkazy'!F7</f>
        <v>FY20</v>
      </c>
      <c r="G111" s="241" t="str">
        <f>'Detailné výkazy'!G7</f>
        <v>FY21</v>
      </c>
      <c r="H111" s="241" t="str">
        <f>'Detailné výkazy'!H7</f>
        <v>FY22</v>
      </c>
      <c r="I111" s="242" t="str">
        <f>'Detailné výkazy'!I7</f>
        <v>FY23</v>
      </c>
      <c r="K111" s="273"/>
      <c r="L111" s="273"/>
      <c r="M111" s="273"/>
      <c r="N111" s="273"/>
      <c r="O111" s="273"/>
      <c r="P111" s="273"/>
      <c r="Q111" s="273"/>
      <c r="R111" s="273"/>
      <c r="S111" s="273"/>
      <c r="T111" s="273"/>
      <c r="U111" s="273"/>
    </row>
    <row r="112" spans="1:21" ht="11.25" customHeight="1" x14ac:dyDescent="0.2">
      <c r="C112" s="164" t="s">
        <v>827</v>
      </c>
      <c r="D112" s="164" t="s">
        <v>636</v>
      </c>
      <c r="E112" s="243"/>
      <c r="F112" s="243">
        <f>F43</f>
        <v>0</v>
      </c>
      <c r="G112" s="243">
        <f>G43</f>
        <v>0</v>
      </c>
      <c r="H112" s="243">
        <f>H43</f>
        <v>0</v>
      </c>
      <c r="I112" s="244">
        <f>I43</f>
        <v>0</v>
      </c>
      <c r="K112" s="273"/>
      <c r="L112" s="273"/>
      <c r="M112" s="273"/>
      <c r="N112" s="273"/>
      <c r="O112" s="273"/>
      <c r="P112" s="273"/>
      <c r="Q112" s="273"/>
      <c r="R112" s="273"/>
      <c r="S112" s="273"/>
      <c r="T112" s="273"/>
      <c r="U112" s="273"/>
    </row>
    <row r="113" spans="2:23" ht="11.25" customHeight="1" x14ac:dyDescent="0.2">
      <c r="C113" s="165" t="s">
        <v>31</v>
      </c>
      <c r="D113" s="165" t="s">
        <v>79</v>
      </c>
      <c r="E113" s="245"/>
      <c r="F113" s="245">
        <f>-F37</f>
        <v>0</v>
      </c>
      <c r="G113" s="245">
        <f>-G37</f>
        <v>0</v>
      </c>
      <c r="H113" s="245">
        <f>-H37</f>
        <v>0</v>
      </c>
      <c r="I113" s="246">
        <f>-I37</f>
        <v>0</v>
      </c>
      <c r="K113" s="273"/>
      <c r="L113" s="273"/>
      <c r="M113" s="273"/>
      <c r="N113" s="273"/>
      <c r="O113" s="273"/>
      <c r="P113" s="273"/>
      <c r="Q113" s="273"/>
      <c r="R113" s="273"/>
      <c r="S113" s="273"/>
      <c r="T113" s="273"/>
      <c r="U113" s="273"/>
    </row>
    <row r="114" spans="2:23" ht="11.25" customHeight="1" x14ac:dyDescent="0.2">
      <c r="C114" s="166" t="s">
        <v>828</v>
      </c>
      <c r="D114" s="166" t="s">
        <v>670</v>
      </c>
      <c r="E114" s="247"/>
      <c r="F114" s="247"/>
      <c r="G114" s="247"/>
      <c r="H114" s="247"/>
      <c r="I114" s="248"/>
    </row>
    <row r="115" spans="2:23" ht="11.25" customHeight="1" x14ac:dyDescent="0.2">
      <c r="C115" s="167" t="s">
        <v>829</v>
      </c>
      <c r="D115" s="167" t="s">
        <v>666</v>
      </c>
      <c r="E115" s="249"/>
      <c r="F115" s="249">
        <f>-(F77-E77)</f>
        <v>0</v>
      </c>
      <c r="G115" s="249">
        <f>-(G77-F77)</f>
        <v>0</v>
      </c>
      <c r="H115" s="249">
        <f>-(H77-G77)</f>
        <v>0</v>
      </c>
      <c r="I115" s="250">
        <f>-(I77-H77)</f>
        <v>0</v>
      </c>
    </row>
    <row r="116" spans="2:23" ht="11.25" customHeight="1" x14ac:dyDescent="0.2">
      <c r="C116" s="167" t="s">
        <v>830</v>
      </c>
      <c r="D116" s="167" t="s">
        <v>54</v>
      </c>
      <c r="E116" s="249"/>
      <c r="F116" s="249">
        <f>-(F76-E76)</f>
        <v>0</v>
      </c>
      <c r="G116" s="249">
        <f>-(G76-F76)</f>
        <v>0</v>
      </c>
      <c r="H116" s="249">
        <f>-(H76-G76)</f>
        <v>0</v>
      </c>
      <c r="I116" s="250">
        <f>-(I76-H76)</f>
        <v>0</v>
      </c>
    </row>
    <row r="117" spans="2:23" ht="11.25" customHeight="1" x14ac:dyDescent="0.2">
      <c r="B117" s="289"/>
      <c r="C117" s="167" t="s">
        <v>831</v>
      </c>
      <c r="D117" s="167" t="s">
        <v>667</v>
      </c>
      <c r="E117" s="251"/>
      <c r="F117" s="251">
        <f>-(SUM(F79,F80)-SUM(E79,E80))</f>
        <v>0</v>
      </c>
      <c r="G117" s="251">
        <f>-(SUM(G79,G80)-SUM(F79,F80))</f>
        <v>0</v>
      </c>
      <c r="H117" s="251">
        <f>-(SUM(H79,H80)-SUM(G79,G80))</f>
        <v>0</v>
      </c>
      <c r="I117" s="252">
        <f>-(SUM(I79,I80)-SUM(H79,H80))</f>
        <v>0</v>
      </c>
    </row>
    <row r="118" spans="2:23" ht="11.25" customHeight="1" x14ac:dyDescent="0.2">
      <c r="C118" s="167" t="s">
        <v>832</v>
      </c>
      <c r="D118" s="167" t="s">
        <v>668</v>
      </c>
      <c r="E118" s="249"/>
      <c r="F118" s="249">
        <f>(SUM(F85,F92)-SUM(E85,E92))</f>
        <v>0</v>
      </c>
      <c r="G118" s="249">
        <f>(SUM(G85,G92)-SUM(F85,F92))</f>
        <v>0</v>
      </c>
      <c r="H118" s="249">
        <f>(SUM(H85,H92)-SUM(G85,G92))</f>
        <v>0</v>
      </c>
      <c r="I118" s="250">
        <f>(SUM(I85,I92)-SUM(H85,H92))</f>
        <v>0</v>
      </c>
    </row>
    <row r="119" spans="2:23" ht="11.25" customHeight="1" x14ac:dyDescent="0.2">
      <c r="C119" s="168" t="s">
        <v>833</v>
      </c>
      <c r="D119" s="168" t="s">
        <v>669</v>
      </c>
      <c r="E119" s="253"/>
      <c r="F119" s="253">
        <f>(SUM(F94,F95,F96,F98)-SUM(E94,E95,E96,E98))</f>
        <v>0</v>
      </c>
      <c r="G119" s="253">
        <f>(SUM(G94,G95,G96,G98)-SUM(F94,F95,F96,F98))</f>
        <v>0</v>
      </c>
      <c r="H119" s="253">
        <f>(SUM(H94,H95,H96,H98)-SUM(G94,G95,G96,G98))</f>
        <v>0</v>
      </c>
      <c r="I119" s="254">
        <f>(SUM(I94,I95,I96,I98)-SUM(H94,H95,H96,H98))</f>
        <v>0</v>
      </c>
    </row>
    <row r="120" spans="2:23" s="3" customFormat="1" ht="11.25" customHeight="1" x14ac:dyDescent="0.2">
      <c r="B120" s="290"/>
      <c r="C120" s="237"/>
      <c r="D120" s="237"/>
      <c r="E120" s="255"/>
      <c r="F120" s="255">
        <f>SUM(F112:F119)</f>
        <v>0</v>
      </c>
      <c r="G120" s="255">
        <f t="shared" ref="G120:I120" si="44">SUM(G112:G119)</f>
        <v>0</v>
      </c>
      <c r="H120" s="255">
        <f t="shared" si="44"/>
        <v>0</v>
      </c>
      <c r="I120" s="256">
        <f t="shared" si="44"/>
        <v>0</v>
      </c>
      <c r="W120" s="538"/>
    </row>
    <row r="121" spans="2:23" ht="11.25" customHeight="1" x14ac:dyDescent="0.2">
      <c r="C121" s="169" t="s">
        <v>834</v>
      </c>
      <c r="D121" s="169" t="s">
        <v>671</v>
      </c>
      <c r="E121" s="257"/>
      <c r="F121" s="257"/>
      <c r="G121" s="257"/>
      <c r="H121" s="257"/>
      <c r="I121" s="258"/>
    </row>
    <row r="122" spans="2:23" ht="11.25" customHeight="1" x14ac:dyDescent="0.2">
      <c r="C122" s="168" t="s">
        <v>835</v>
      </c>
      <c r="D122" s="168" t="s">
        <v>672</v>
      </c>
      <c r="E122" s="253"/>
      <c r="F122" s="253">
        <f>E73-F73+F37</f>
        <v>0</v>
      </c>
      <c r="G122" s="253">
        <f>F73-G73+G37</f>
        <v>0</v>
      </c>
      <c r="H122" s="253">
        <f>G73-H73+H37</f>
        <v>0</v>
      </c>
      <c r="I122" s="254">
        <f>H73-I73+I37</f>
        <v>0</v>
      </c>
    </row>
    <row r="123" spans="2:23" s="3" customFormat="1" ht="11.25" customHeight="1" x14ac:dyDescent="0.2">
      <c r="B123" s="290"/>
      <c r="C123" s="238"/>
      <c r="D123" s="238"/>
      <c r="E123" s="259"/>
      <c r="F123" s="259">
        <f>F122</f>
        <v>0</v>
      </c>
      <c r="G123" s="259">
        <f t="shared" ref="G123:I123" si="45">G122</f>
        <v>0</v>
      </c>
      <c r="H123" s="259">
        <f t="shared" si="45"/>
        <v>0</v>
      </c>
      <c r="I123" s="260">
        <f t="shared" si="45"/>
        <v>0</v>
      </c>
      <c r="W123" s="538"/>
    </row>
    <row r="124" spans="2:23" ht="11.25" customHeight="1" x14ac:dyDescent="0.2">
      <c r="C124" s="169" t="s">
        <v>836</v>
      </c>
      <c r="D124" s="169" t="s">
        <v>673</v>
      </c>
      <c r="E124" s="257"/>
      <c r="F124" s="257"/>
      <c r="G124" s="257"/>
      <c r="H124" s="257"/>
      <c r="I124" s="258"/>
    </row>
    <row r="125" spans="2:23" ht="11.25" customHeight="1" x14ac:dyDescent="0.2">
      <c r="C125" s="167" t="s">
        <v>837</v>
      </c>
      <c r="D125" s="167" t="s">
        <v>674</v>
      </c>
      <c r="E125" s="249"/>
      <c r="F125" s="249">
        <f>(SUM(F86,F93)-SUM(E86,E93))</f>
        <v>0</v>
      </c>
      <c r="G125" s="249">
        <f>(SUM(G86,G93)-SUM(F86,F93))</f>
        <v>0</v>
      </c>
      <c r="H125" s="249">
        <f>(SUM(H86,H93)-SUM(G86,G93))</f>
        <v>0</v>
      </c>
      <c r="I125" s="250">
        <f>(SUM(I86,I93)-SUM(H86,H93))</f>
        <v>0</v>
      </c>
    </row>
    <row r="126" spans="2:23" ht="11.25" customHeight="1" x14ac:dyDescent="0.2">
      <c r="C126" s="167" t="s">
        <v>838</v>
      </c>
      <c r="D126" s="167" t="s">
        <v>675</v>
      </c>
      <c r="E126" s="249"/>
      <c r="F126" s="249">
        <f>(SUM(F87,F88,F89)-SUM(E87,E88,E89))</f>
        <v>0</v>
      </c>
      <c r="G126" s="249">
        <f>(SUM(G87,G88,G89)-SUM(F87,F88,F89))</f>
        <v>0</v>
      </c>
      <c r="H126" s="249">
        <f>(SUM(H87,H88,H89)-SUM(G87,G88,G89))</f>
        <v>0</v>
      </c>
      <c r="I126" s="250">
        <f>(SUM(I87,I88,I89)-SUM(H87,H88,H89))</f>
        <v>0</v>
      </c>
    </row>
    <row r="127" spans="2:23" ht="11.25" customHeight="1" x14ac:dyDescent="0.2">
      <c r="C127" s="167" t="s">
        <v>839</v>
      </c>
      <c r="D127" s="167" t="s">
        <v>676</v>
      </c>
      <c r="E127" s="249"/>
      <c r="F127" s="249">
        <f>F105-E105-F104</f>
        <v>0</v>
      </c>
      <c r="G127" s="249">
        <f>G105-F105-G104</f>
        <v>0</v>
      </c>
      <c r="H127" s="249">
        <f>H105-G105-H104</f>
        <v>0</v>
      </c>
      <c r="I127" s="250">
        <f>I105-H105-I104</f>
        <v>0</v>
      </c>
    </row>
    <row r="128" spans="2:23" s="3" customFormat="1" ht="11.25" customHeight="1" x14ac:dyDescent="0.2">
      <c r="B128" s="290"/>
      <c r="C128" s="239"/>
      <c r="D128" s="239"/>
      <c r="E128" s="261"/>
      <c r="F128" s="261">
        <f>SUM(F125:F127)</f>
        <v>0</v>
      </c>
      <c r="G128" s="261">
        <f t="shared" ref="G128:I128" si="46">SUM(G125:G127)</f>
        <v>0</v>
      </c>
      <c r="H128" s="261">
        <f t="shared" si="46"/>
        <v>0</v>
      </c>
      <c r="I128" s="262">
        <f t="shared" si="46"/>
        <v>0</v>
      </c>
      <c r="W128" s="538"/>
    </row>
    <row r="129" spans="2:9" ht="11.25" customHeight="1" x14ac:dyDescent="0.2">
      <c r="C129" s="240" t="s">
        <v>840</v>
      </c>
      <c r="D129" s="240" t="s">
        <v>677</v>
      </c>
      <c r="E129" s="263"/>
      <c r="F129" s="263">
        <f>F128+F122+F120</f>
        <v>0</v>
      </c>
      <c r="G129" s="263">
        <f>G128+G122+G120</f>
        <v>0</v>
      </c>
      <c r="H129" s="263">
        <f>H128+H122+H120</f>
        <v>0</v>
      </c>
      <c r="I129" s="264">
        <f>I128+I122+I120</f>
        <v>0</v>
      </c>
    </row>
    <row r="130" spans="2:9" ht="11.25" customHeight="1" x14ac:dyDescent="0.2">
      <c r="C130" s="167"/>
      <c r="D130" s="167"/>
      <c r="E130" s="249"/>
      <c r="F130" s="249"/>
      <c r="G130" s="249"/>
      <c r="H130" s="249"/>
      <c r="I130" s="250"/>
    </row>
    <row r="131" spans="2:9" ht="11.25" customHeight="1" x14ac:dyDescent="0.2">
      <c r="C131" s="167" t="s">
        <v>841</v>
      </c>
      <c r="D131" s="167" t="s">
        <v>678</v>
      </c>
      <c r="E131" s="249"/>
      <c r="F131" s="249">
        <f>E78</f>
        <v>0</v>
      </c>
      <c r="G131" s="249">
        <f>F78</f>
        <v>0</v>
      </c>
      <c r="H131" s="249">
        <f>G78</f>
        <v>0</v>
      </c>
      <c r="I131" s="250">
        <f>H78</f>
        <v>0</v>
      </c>
    </row>
    <row r="132" spans="2:9" ht="11.25" customHeight="1" thickBot="1" x14ac:dyDescent="0.25">
      <c r="C132" s="170" t="s">
        <v>842</v>
      </c>
      <c r="D132" s="170" t="s">
        <v>679</v>
      </c>
      <c r="E132" s="265"/>
      <c r="F132" s="265">
        <f>F131+F129</f>
        <v>0</v>
      </c>
      <c r="G132" s="265">
        <f t="shared" ref="G132:I132" si="47">G131+G129</f>
        <v>0</v>
      </c>
      <c r="H132" s="265">
        <f t="shared" si="47"/>
        <v>0</v>
      </c>
      <c r="I132" s="266">
        <f t="shared" si="47"/>
        <v>0</v>
      </c>
    </row>
    <row r="133" spans="2:9" x14ac:dyDescent="0.2">
      <c r="C133" s="86"/>
      <c r="D133" s="86"/>
      <c r="E133" s="86"/>
      <c r="F133" s="86"/>
      <c r="G133" s="86"/>
      <c r="H133" s="86"/>
      <c r="I133" s="86"/>
    </row>
    <row r="134" spans="2:9" ht="11.25" customHeight="1" x14ac:dyDescent="0.2">
      <c r="B134" s="175"/>
      <c r="C134" s="86" t="s">
        <v>590</v>
      </c>
      <c r="D134" s="86"/>
      <c r="E134" s="457"/>
      <c r="F134" s="457">
        <f>F132-F78</f>
        <v>0</v>
      </c>
      <c r="G134" s="457">
        <f>G132-G78</f>
        <v>0</v>
      </c>
      <c r="H134" s="457">
        <f>H132-H78</f>
        <v>0</v>
      </c>
      <c r="I134" s="457">
        <f>I132-I78</f>
        <v>0</v>
      </c>
    </row>
    <row r="135" spans="2:9" x14ac:dyDescent="0.2"/>
    <row r="136" spans="2:9" x14ac:dyDescent="0.2"/>
  </sheetData>
  <conditionalFormatting sqref="C45:I45">
    <cfRule type="expression" dxfId="16" priority="13">
      <formula>SUM($E$45:$I$45)=0</formula>
    </cfRule>
  </conditionalFormatting>
  <conditionalFormatting sqref="C108:I108">
    <cfRule type="expression" dxfId="15" priority="12">
      <formula>SUM($E$108:$I$108)=0</formula>
    </cfRule>
  </conditionalFormatting>
  <conditionalFormatting sqref="C134:I134">
    <cfRule type="expression" dxfId="14" priority="11">
      <formula>SUM($F$134:$I$134)=0</formula>
    </cfRule>
  </conditionalFormatting>
  <conditionalFormatting sqref="K76:O80">
    <cfRule type="cellIs" dxfId="13" priority="5" operator="greaterThanOrEqual">
      <formula>0.3</formula>
    </cfRule>
  </conditionalFormatting>
  <conditionalFormatting sqref="K85:O89">
    <cfRule type="cellIs" dxfId="12" priority="4" operator="greaterThanOrEqual">
      <formula>0.3</formula>
    </cfRule>
    <cfRule type="cellIs" dxfId="11" priority="6" operator="greaterThan">
      <formula>0.3</formula>
    </cfRule>
  </conditionalFormatting>
  <conditionalFormatting sqref="K91:O96">
    <cfRule type="cellIs" dxfId="10" priority="3" operator="greaterThanOrEqual">
      <formula>0.3</formula>
    </cfRule>
  </conditionalFormatting>
  <conditionalFormatting sqref="K101:O104">
    <cfRule type="cellIs" dxfId="9" priority="1" operator="lessThan">
      <formula>-0.3</formula>
    </cfRule>
    <cfRule type="cellIs" dxfId="8" priority="2" operator="greaterThanOrEqual">
      <formula>0.3</formula>
    </cfRule>
  </conditionalFormatting>
  <conditionalFormatting sqref="Q69:U106">
    <cfRule type="cellIs" dxfId="7" priority="7" operator="lessThan">
      <formula>-0.3</formula>
    </cfRule>
    <cfRule type="cellIs" dxfId="6" priority="8" operator="greaterThan">
      <formula>30</formula>
    </cfRule>
  </conditionalFormatting>
  <dataValidations disablePrompts="1" count="1">
    <dataValidation type="list" allowBlank="1" showInputMessage="1" showErrorMessage="1" sqref="E4" xr:uid="{00000000-0002-0000-0400-000000000000}">
      <formula1>" 1, 1000, 1000000"</formula1>
    </dataValidation>
  </dataValidations>
  <pageMargins left="0.7" right="0.7" top="0.75" bottom="0.75" header="0.3" footer="0.3"/>
  <pageSetup scale="95" orientation="portrait" horizontalDpi="4294967295" verticalDpi="4294967295" r:id="rId1"/>
  <headerFooter>
    <oddFooter>&amp;C&amp;7&amp;B&amp;"Arial"Document Classification: KPMG Confidential</oddFooter>
  </headerFooter>
  <colBreaks count="1" manualBreakCount="1">
    <brk id="9"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AB109"/>
  <sheetViews>
    <sheetView showGridLines="0" topLeftCell="A28" workbookViewId="0">
      <selection activeCell="I58" sqref="I58"/>
    </sheetView>
  </sheetViews>
  <sheetFormatPr defaultColWidth="0" defaultRowHeight="11.25" zeroHeight="1" x14ac:dyDescent="0.2"/>
  <cols>
    <col min="1" max="1" width="2.85546875" style="291" customWidth="1"/>
    <col min="2" max="2" width="2.85546875" style="291" hidden="1" customWidth="1"/>
    <col min="3" max="3" width="42.85546875" style="291" hidden="1" customWidth="1"/>
    <col min="4" max="4" width="42.85546875" style="294" customWidth="1"/>
    <col min="5" max="9" width="10.7109375" style="291" customWidth="1"/>
    <col min="10" max="10" width="19.42578125" style="291" bestFit="1" customWidth="1"/>
    <col min="11" max="11" width="22.85546875" style="291" bestFit="1" customWidth="1"/>
    <col min="12" max="12" width="8.85546875" style="291" customWidth="1"/>
    <col min="13" max="13" width="19" style="291" customWidth="1"/>
    <col min="14" max="14" width="2.28515625" style="291" customWidth="1"/>
    <col min="15" max="15" width="8.140625" style="291" customWidth="1"/>
    <col min="16" max="17" width="8.85546875" style="291" customWidth="1"/>
    <col min="18" max="28" width="0" style="291" hidden="1" customWidth="1"/>
    <col min="29" max="16384" width="8.85546875" style="291" hidden="1"/>
  </cols>
  <sheetData>
    <row r="1" spans="1:28" x14ac:dyDescent="0.2">
      <c r="A1" s="190"/>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row>
    <row r="2" spans="1:28" ht="21" customHeight="1" x14ac:dyDescent="0.2">
      <c r="A2" s="190"/>
      <c r="B2" s="190"/>
      <c r="C2" s="374" t="str">
        <f>CONCATENATE("Analysis of financial results: ",Aktíva!D1)</f>
        <v>Analysis of financial results: XXY s.r.o.</v>
      </c>
      <c r="D2" s="694" t="str">
        <f>CONCATENATE("Analýza finančných výsledkov: ",Aktíva!D1)</f>
        <v>Analýza finančných výsledkov: XXY s.r.o.</v>
      </c>
      <c r="E2" s="375"/>
      <c r="F2" s="190"/>
      <c r="G2" s="190"/>
      <c r="H2" s="190"/>
      <c r="I2" s="190"/>
      <c r="J2" s="190"/>
      <c r="K2" s="190"/>
      <c r="L2" s="190"/>
      <c r="M2" s="190"/>
      <c r="N2" s="190"/>
      <c r="O2" s="190"/>
      <c r="P2" s="190"/>
      <c r="Q2" s="190"/>
      <c r="R2" s="190"/>
      <c r="S2" s="190"/>
      <c r="T2" s="190"/>
      <c r="U2" s="190"/>
      <c r="V2" s="190"/>
      <c r="W2" s="190"/>
      <c r="X2" s="190"/>
      <c r="Y2" s="190"/>
      <c r="Z2" s="190"/>
      <c r="AA2" s="190"/>
      <c r="AB2" s="190"/>
    </row>
    <row r="3" spans="1:28" x14ac:dyDescent="0.2"/>
    <row r="4" spans="1:28" x14ac:dyDescent="0.2"/>
    <row r="5" spans="1:28" x14ac:dyDescent="0.2"/>
    <row r="6" spans="1:28" ht="19.5" customHeight="1" x14ac:dyDescent="0.2">
      <c r="C6" s="55" t="s">
        <v>748</v>
      </c>
      <c r="D6" s="55" t="s">
        <v>687</v>
      </c>
      <c r="E6" s="56"/>
      <c r="F6" s="56"/>
      <c r="G6" s="56"/>
      <c r="H6" s="56"/>
      <c r="I6" s="57"/>
      <c r="K6" s="55" t="s">
        <v>861</v>
      </c>
      <c r="L6" s="58"/>
      <c r="M6" s="59"/>
      <c r="N6" s="462"/>
      <c r="O6" s="463"/>
      <c r="P6" s="464"/>
      <c r="Q6" s="464"/>
    </row>
    <row r="7" spans="1:28" ht="11.25" customHeight="1" x14ac:dyDescent="0.2">
      <c r="C7" s="60" t="str">
        <f>'Detailné výkazy'!C7</f>
        <v xml:space="preserve">€  </v>
      </c>
      <c r="D7" s="60" t="str">
        <f>'Detailné výkazy'!C7</f>
        <v xml:space="preserve">€  </v>
      </c>
      <c r="E7" s="61" t="str">
        <f>'Detailné výkazy'!E7</f>
        <v>FY19</v>
      </c>
      <c r="F7" s="61" t="str">
        <f>'Detailné výkazy'!F7</f>
        <v>FY20</v>
      </c>
      <c r="G7" s="61" t="str">
        <f>'Detailné výkazy'!G7</f>
        <v>FY21</v>
      </c>
      <c r="H7" s="61" t="str">
        <f>'Detailné výkazy'!H7</f>
        <v>FY22</v>
      </c>
      <c r="I7" s="62" t="str">
        <f>'Detailné výkazy'!I7</f>
        <v>FY23</v>
      </c>
      <c r="K7" s="470"/>
      <c r="L7" s="471"/>
      <c r="M7" s="472"/>
      <c r="N7" s="465"/>
      <c r="O7" s="466"/>
      <c r="P7" s="466"/>
      <c r="Q7" s="466"/>
    </row>
    <row r="8" spans="1:28" ht="11.25" customHeight="1" x14ac:dyDescent="0.2">
      <c r="C8" s="63" t="s">
        <v>19</v>
      </c>
      <c r="D8" s="63" t="s">
        <v>45</v>
      </c>
      <c r="E8" s="214">
        <f>'Detailné výkazy'!E11</f>
        <v>0</v>
      </c>
      <c r="F8" s="214">
        <f>'Detailné výkazy'!F11</f>
        <v>0</v>
      </c>
      <c r="G8" s="214">
        <f>'Detailné výkazy'!G11</f>
        <v>0</v>
      </c>
      <c r="H8" s="214">
        <f>'Detailné výkazy'!H11</f>
        <v>0</v>
      </c>
      <c r="I8" s="215">
        <f>'Detailné výkazy'!I11</f>
        <v>0</v>
      </c>
      <c r="K8" s="64" t="s">
        <v>862</v>
      </c>
      <c r="L8" s="469">
        <v>2016</v>
      </c>
      <c r="M8" s="67" t="s">
        <v>867</v>
      </c>
      <c r="N8" s="465"/>
      <c r="O8" s="467">
        <f>Aktíva!F3</f>
        <v>2023</v>
      </c>
      <c r="P8" s="467">
        <v>5</v>
      </c>
      <c r="Q8" s="466"/>
    </row>
    <row r="9" spans="1:28" ht="11.25" customHeight="1" x14ac:dyDescent="0.2">
      <c r="C9" s="68" t="s">
        <v>749</v>
      </c>
      <c r="D9" s="68" t="s">
        <v>682</v>
      </c>
      <c r="E9" s="69"/>
      <c r="F9" s="69">
        <f>IFERROR(F8/E8-1,0)</f>
        <v>0</v>
      </c>
      <c r="G9" s="69">
        <f t="shared" ref="G9:I9" si="0">IFERROR(G8/F8-1,0)</f>
        <v>0</v>
      </c>
      <c r="H9" s="69">
        <f t="shared" si="0"/>
        <v>0</v>
      </c>
      <c r="I9" s="70">
        <f t="shared" si="0"/>
        <v>0</v>
      </c>
      <c r="K9" s="64" t="s">
        <v>863</v>
      </c>
      <c r="L9" s="65">
        <v>2020</v>
      </c>
      <c r="M9" s="67" t="s">
        <v>867</v>
      </c>
      <c r="N9" s="465"/>
      <c r="O9" s="467">
        <f t="shared" ref="O9:P12" si="1">O8-1</f>
        <v>2022</v>
      </c>
      <c r="P9" s="467">
        <f t="shared" si="1"/>
        <v>4</v>
      </c>
      <c r="Q9" s="466"/>
    </row>
    <row r="10" spans="1:28" ht="11.25" customHeight="1" x14ac:dyDescent="0.2">
      <c r="C10" s="71" t="s">
        <v>750</v>
      </c>
      <c r="D10" s="71" t="s">
        <v>637</v>
      </c>
      <c r="E10" s="72">
        <f>'Skrátené výkazy'!E21</f>
        <v>0</v>
      </c>
      <c r="F10" s="72">
        <f>'Skrátené výkazy'!F21</f>
        <v>0</v>
      </c>
      <c r="G10" s="72">
        <f>'Skrátené výkazy'!G21</f>
        <v>0</v>
      </c>
      <c r="H10" s="72">
        <f>'Skrátené výkazy'!H21</f>
        <v>0</v>
      </c>
      <c r="I10" s="73">
        <f>'Skrátené výkazy'!I21</f>
        <v>0</v>
      </c>
      <c r="K10" s="64" t="s">
        <v>864</v>
      </c>
      <c r="L10" s="74">
        <f>L9-L8</f>
        <v>4</v>
      </c>
      <c r="M10" s="67" t="s">
        <v>868</v>
      </c>
      <c r="N10" s="465"/>
      <c r="O10" s="467">
        <f t="shared" si="1"/>
        <v>2021</v>
      </c>
      <c r="P10" s="467">
        <f t="shared" si="1"/>
        <v>3</v>
      </c>
      <c r="Q10" s="466"/>
    </row>
    <row r="11" spans="1:28" ht="11.25" customHeight="1" x14ac:dyDescent="0.2">
      <c r="C11" s="75" t="s">
        <v>751</v>
      </c>
      <c r="D11" s="75" t="s">
        <v>704</v>
      </c>
      <c r="E11" s="196">
        <f>'Skrátené výkazy'!E62</f>
        <v>0</v>
      </c>
      <c r="F11" s="196">
        <f>'Skrátené výkazy'!F62</f>
        <v>0</v>
      </c>
      <c r="G11" s="196">
        <f>'Skrátené výkazy'!G62</f>
        <v>0</v>
      </c>
      <c r="H11" s="196">
        <f>'Skrátené výkazy'!H62</f>
        <v>0</v>
      </c>
      <c r="I11" s="197">
        <f>'Skrátené výkazy'!I62</f>
        <v>0</v>
      </c>
      <c r="K11" s="64"/>
      <c r="L11" s="74"/>
      <c r="M11" s="67"/>
      <c r="N11" s="465"/>
      <c r="O11" s="467">
        <f t="shared" si="1"/>
        <v>2020</v>
      </c>
      <c r="P11" s="467">
        <f t="shared" si="1"/>
        <v>2</v>
      </c>
      <c r="Q11" s="466"/>
    </row>
    <row r="12" spans="1:28" ht="11.25" customHeight="1" x14ac:dyDescent="0.2">
      <c r="C12" s="71" t="s">
        <v>752</v>
      </c>
      <c r="D12" s="71" t="s">
        <v>642</v>
      </c>
      <c r="E12" s="72">
        <f>'Skrátené výkazy'!E63</f>
        <v>0</v>
      </c>
      <c r="F12" s="72">
        <f>'Skrátené výkazy'!F63</f>
        <v>0</v>
      </c>
      <c r="G12" s="72">
        <f>'Skrátené výkazy'!G63</f>
        <v>0</v>
      </c>
      <c r="H12" s="72">
        <f>'Skrátené výkazy'!H63</f>
        <v>0</v>
      </c>
      <c r="I12" s="73">
        <f>'Skrátené výkazy'!I63</f>
        <v>0</v>
      </c>
      <c r="K12" s="64" t="s">
        <v>865</v>
      </c>
      <c r="L12" s="77" t="e">
        <f>INDEX(Sumár!$E$8:$I$8,MATCH(P14,'Skrátené výkazy'!$E$5:$I$5,0))</f>
        <v>#N/A</v>
      </c>
      <c r="M12" s="67" t="s">
        <v>868</v>
      </c>
      <c r="N12" s="468"/>
      <c r="O12" s="467">
        <f t="shared" si="1"/>
        <v>2019</v>
      </c>
      <c r="P12" s="467">
        <f t="shared" si="1"/>
        <v>1</v>
      </c>
      <c r="Q12" s="466"/>
    </row>
    <row r="13" spans="1:28" ht="11.25" customHeight="1" x14ac:dyDescent="0.2">
      <c r="C13" s="71" t="s">
        <v>753</v>
      </c>
      <c r="D13" s="71" t="s">
        <v>683</v>
      </c>
      <c r="E13" s="196">
        <f>'Skrátené výkazy'!E43</f>
        <v>0</v>
      </c>
      <c r="F13" s="196">
        <f>'Skrátené výkazy'!F43</f>
        <v>0</v>
      </c>
      <c r="G13" s="196">
        <f>'Skrátené výkazy'!G43</f>
        <v>0</v>
      </c>
      <c r="H13" s="196">
        <f>'Skrátené výkazy'!H43</f>
        <v>0</v>
      </c>
      <c r="I13" s="197">
        <f>'Skrátené výkazy'!I43</f>
        <v>0</v>
      </c>
      <c r="K13" s="64" t="s">
        <v>866</v>
      </c>
      <c r="L13" s="77">
        <f>INDEX(Sumár!$E$8:$I$8,MATCH(P15,'Skrátené výkazy'!$E$5:$I$5,0))</f>
        <v>0</v>
      </c>
      <c r="M13" s="67" t="s">
        <v>868</v>
      </c>
      <c r="N13" s="468"/>
      <c r="O13" s="467"/>
      <c r="P13" s="466"/>
      <c r="Q13" s="466"/>
    </row>
    <row r="14" spans="1:28" ht="11.25" customHeight="1" x14ac:dyDescent="0.2">
      <c r="C14" s="71"/>
      <c r="D14" s="71"/>
      <c r="E14" s="78"/>
      <c r="F14" s="78"/>
      <c r="G14" s="78"/>
      <c r="H14" s="78"/>
      <c r="I14" s="79"/>
      <c r="K14" s="80"/>
      <c r="L14" s="66"/>
      <c r="M14" s="67"/>
      <c r="N14" s="468"/>
      <c r="O14" s="467" t="s">
        <v>594</v>
      </c>
      <c r="P14" s="467" t="e">
        <f>VLOOKUP(L8,$O$8:$P$12,2,FALSE)</f>
        <v>#N/A</v>
      </c>
      <c r="Q14" s="466"/>
    </row>
    <row r="15" spans="1:28" ht="11.25" customHeight="1" thickBot="1" x14ac:dyDescent="0.25">
      <c r="C15" s="75" t="s">
        <v>754</v>
      </c>
      <c r="D15" s="75" t="s">
        <v>684</v>
      </c>
      <c r="E15" s="196">
        <f>'Skrátené výkazy'!E93+'Skrátené výkazy'!E86-'Skrátené výkazy'!E78</f>
        <v>0</v>
      </c>
      <c r="F15" s="196">
        <f>'Skrátené výkazy'!F93+'Skrátené výkazy'!F86-'Skrátené výkazy'!F78</f>
        <v>0</v>
      </c>
      <c r="G15" s="196">
        <f>'Skrátené výkazy'!G93+'Skrátené výkazy'!G86-'Skrátené výkazy'!G78</f>
        <v>0</v>
      </c>
      <c r="H15" s="196">
        <f>'Skrátené výkazy'!H93+'Skrátené výkazy'!H86-'Skrátené výkazy'!H78</f>
        <v>0</v>
      </c>
      <c r="I15" s="197">
        <f>'Skrátené výkazy'!I93+'Skrátené výkazy'!I86-'Skrátené výkazy'!I78</f>
        <v>0</v>
      </c>
      <c r="K15" s="81" t="str">
        <f>CONCATENATE(K6," ",L8,"-",L9)</f>
        <v>CAGR 2016-2020</v>
      </c>
      <c r="L15" s="82" t="e">
        <f>(L13/L12)^(1/L10)-1</f>
        <v>#N/A</v>
      </c>
      <c r="M15" s="83" t="s">
        <v>869</v>
      </c>
      <c r="N15" s="468"/>
      <c r="O15" s="467" t="s">
        <v>595</v>
      </c>
      <c r="P15" s="467">
        <f>VLOOKUP(L9,$O$8:$P$12,2,FALSE)</f>
        <v>2</v>
      </c>
      <c r="Q15" s="466"/>
    </row>
    <row r="16" spans="1:28" ht="11.25" customHeight="1" x14ac:dyDescent="0.2">
      <c r="C16" s="75" t="s">
        <v>755</v>
      </c>
      <c r="D16" s="75" t="s">
        <v>685</v>
      </c>
      <c r="E16" s="84">
        <f>IF(E11&lt;0,"N/a",IFERROR(E15/E11,0))</f>
        <v>0</v>
      </c>
      <c r="F16" s="84">
        <f t="shared" ref="F16:I16" si="2">IF(F11&lt;0,"N/a",IFERROR(F15/F11,0))</f>
        <v>0</v>
      </c>
      <c r="G16" s="84">
        <f t="shared" si="2"/>
        <v>0</v>
      </c>
      <c r="H16" s="84">
        <f t="shared" si="2"/>
        <v>0</v>
      </c>
      <c r="I16" s="85">
        <f t="shared" si="2"/>
        <v>0</v>
      </c>
      <c r="K16" s="2"/>
      <c r="L16" s="172"/>
      <c r="M16" s="2"/>
      <c r="N16" s="2"/>
      <c r="O16" s="2"/>
    </row>
    <row r="17" spans="3:15" ht="11.25" customHeight="1" x14ac:dyDescent="0.2">
      <c r="C17" s="75" t="s">
        <v>756</v>
      </c>
      <c r="D17" s="75" t="s">
        <v>686</v>
      </c>
      <c r="E17" s="196">
        <f>Sumár!E49</f>
        <v>0</v>
      </c>
      <c r="F17" s="196">
        <f>Sumár!F49</f>
        <v>0</v>
      </c>
      <c r="G17" s="196">
        <f>Sumár!G49</f>
        <v>0</v>
      </c>
      <c r="H17" s="196">
        <f>Sumár!H49</f>
        <v>0</v>
      </c>
      <c r="I17" s="197">
        <f>Sumár!I49</f>
        <v>0</v>
      </c>
      <c r="K17" s="2"/>
      <c r="L17" s="172"/>
      <c r="M17" s="2"/>
      <c r="N17" s="2"/>
      <c r="O17" s="2"/>
    </row>
    <row r="18" spans="3:15" ht="11.25" customHeight="1" thickBot="1" x14ac:dyDescent="0.25">
      <c r="C18" s="87" t="s">
        <v>757</v>
      </c>
      <c r="D18" s="87" t="s">
        <v>664</v>
      </c>
      <c r="E18" s="216">
        <f>'Skrátené výkazy'!E82</f>
        <v>0</v>
      </c>
      <c r="F18" s="216">
        <f>'Skrátené výkazy'!F82</f>
        <v>0</v>
      </c>
      <c r="G18" s="216">
        <f>'Skrátené výkazy'!G82</f>
        <v>0</v>
      </c>
      <c r="H18" s="216">
        <f>'Skrátené výkazy'!H82</f>
        <v>0</v>
      </c>
      <c r="I18" s="217">
        <f>'Skrátené výkazy'!I82</f>
        <v>0</v>
      </c>
      <c r="K18" s="2"/>
      <c r="L18" s="172"/>
      <c r="M18" s="2"/>
      <c r="N18" s="2"/>
      <c r="O18" s="2"/>
    </row>
    <row r="19" spans="3:15" ht="11.25" customHeight="1" x14ac:dyDescent="0.2">
      <c r="D19" s="173"/>
      <c r="E19" s="174"/>
      <c r="F19" s="174"/>
      <c r="G19" s="174"/>
      <c r="H19" s="174"/>
      <c r="I19" s="174"/>
      <c r="K19" s="2"/>
      <c r="L19" s="172"/>
      <c r="M19" s="2"/>
      <c r="N19" s="2"/>
      <c r="O19" s="2"/>
    </row>
    <row r="20" spans="3:15" ht="11.25" customHeight="1" x14ac:dyDescent="0.2">
      <c r="D20" s="175"/>
      <c r="E20" s="2"/>
      <c r="F20" s="2"/>
      <c r="G20" s="2"/>
      <c r="H20" s="2"/>
      <c r="I20" s="2"/>
      <c r="K20" s="2"/>
      <c r="L20" s="172"/>
      <c r="M20" s="2"/>
      <c r="N20" s="2"/>
      <c r="O20" s="2"/>
    </row>
    <row r="21" spans="3:15" ht="11.25" customHeight="1" x14ac:dyDescent="0.2">
      <c r="D21" s="175"/>
      <c r="E21" s="2"/>
      <c r="F21" s="2"/>
      <c r="G21" s="2"/>
      <c r="H21" s="2"/>
      <c r="I21" s="2"/>
      <c r="K21" s="2"/>
      <c r="L21" s="172"/>
      <c r="M21" s="2"/>
      <c r="N21" s="2"/>
      <c r="O21" s="2"/>
    </row>
    <row r="22" spans="3:15" ht="19.5" customHeight="1" x14ac:dyDescent="0.2">
      <c r="C22" s="454" t="s">
        <v>758</v>
      </c>
      <c r="D22" s="455" t="s">
        <v>694</v>
      </c>
      <c r="E22" s="455"/>
      <c r="F22" s="455"/>
      <c r="G22" s="455"/>
      <c r="H22" s="455"/>
      <c r="I22" s="456"/>
      <c r="K22" s="2"/>
      <c r="L22" s="2"/>
      <c r="M22" s="2"/>
      <c r="N22" s="2"/>
      <c r="O22" s="2"/>
    </row>
    <row r="23" spans="3:15" ht="11.25" customHeight="1" x14ac:dyDescent="0.2">
      <c r="C23" s="60" t="str">
        <f>'Detailné výkazy'!C7</f>
        <v xml:space="preserve">€  </v>
      </c>
      <c r="D23" s="475" t="str">
        <f>'Detailné výkazy'!C7</f>
        <v xml:space="preserve">€  </v>
      </c>
      <c r="E23" s="61" t="str">
        <f>E7</f>
        <v>FY19</v>
      </c>
      <c r="F23" s="61" t="str">
        <f>F7</f>
        <v>FY20</v>
      </c>
      <c r="G23" s="61" t="str">
        <f>G7</f>
        <v>FY21</v>
      </c>
      <c r="H23" s="61" t="str">
        <f>H7</f>
        <v>FY22</v>
      </c>
      <c r="I23" s="62" t="str">
        <f>I7</f>
        <v>FY23</v>
      </c>
      <c r="K23" s="2"/>
      <c r="L23" s="2"/>
      <c r="M23" s="2"/>
      <c r="N23" s="2"/>
      <c r="O23" s="2"/>
    </row>
    <row r="24" spans="3:15" ht="11.25" customHeight="1" x14ac:dyDescent="0.2">
      <c r="C24" s="488" t="s">
        <v>759</v>
      </c>
      <c r="D24" s="489" t="s">
        <v>688</v>
      </c>
      <c r="I24" s="476"/>
      <c r="K24" s="2"/>
      <c r="L24" s="2"/>
      <c r="M24" s="2"/>
      <c r="N24" s="2"/>
      <c r="O24" s="2"/>
    </row>
    <row r="25" spans="3:15" ht="11.25" customHeight="1" x14ac:dyDescent="0.2">
      <c r="C25" s="75" t="s">
        <v>95</v>
      </c>
      <c r="D25" s="93" t="s">
        <v>96</v>
      </c>
      <c r="E25" s="196">
        <f>'Detailné výkazy'!E75</f>
        <v>0</v>
      </c>
      <c r="F25" s="196">
        <f>'Detailné výkazy'!F75</f>
        <v>0</v>
      </c>
      <c r="G25" s="196">
        <f>'Detailné výkazy'!G75</f>
        <v>0</v>
      </c>
      <c r="H25" s="196">
        <f>'Detailné výkazy'!H75</f>
        <v>0</v>
      </c>
      <c r="I25" s="197">
        <f>'Detailné výkazy'!I75</f>
        <v>0</v>
      </c>
      <c r="M25" s="2"/>
      <c r="N25" s="2"/>
      <c r="O25" s="2"/>
    </row>
    <row r="26" spans="3:15" ht="11.25" customHeight="1" x14ac:dyDescent="0.2">
      <c r="C26" s="75" t="s">
        <v>97</v>
      </c>
      <c r="D26" s="93" t="s">
        <v>689</v>
      </c>
      <c r="E26" s="196">
        <f>'Detailné výkazy'!E76</f>
        <v>0</v>
      </c>
      <c r="F26" s="196">
        <f>'Detailné výkazy'!F76</f>
        <v>0</v>
      </c>
      <c r="G26" s="196">
        <f>'Detailné výkazy'!G76</f>
        <v>0</v>
      </c>
      <c r="H26" s="196">
        <f>'Detailné výkazy'!H76</f>
        <v>0</v>
      </c>
      <c r="I26" s="197">
        <f>'Detailné výkazy'!I76</f>
        <v>0</v>
      </c>
    </row>
    <row r="27" spans="3:15" ht="11.25" customHeight="1" x14ac:dyDescent="0.2">
      <c r="C27" s="75" t="s">
        <v>99</v>
      </c>
      <c r="D27" s="93" t="s">
        <v>690</v>
      </c>
      <c r="E27" s="196">
        <f>'Detailné výkazy'!E77</f>
        <v>0</v>
      </c>
      <c r="F27" s="196">
        <f>'Detailné výkazy'!F77</f>
        <v>0</v>
      </c>
      <c r="G27" s="196">
        <f>'Detailné výkazy'!G77</f>
        <v>0</v>
      </c>
      <c r="H27" s="196">
        <f>'Detailné výkazy'!H77</f>
        <v>0</v>
      </c>
      <c r="I27" s="197">
        <f>'Detailné výkazy'!I77</f>
        <v>0</v>
      </c>
    </row>
    <row r="28" spans="3:15" s="487" customFormat="1" ht="11.25" customHeight="1" x14ac:dyDescent="0.2">
      <c r="C28" s="486"/>
      <c r="D28" s="95"/>
      <c r="E28" s="218">
        <f>SUM(E25:E27)</f>
        <v>0</v>
      </c>
      <c r="F28" s="218">
        <f>SUM(F25:F27)</f>
        <v>0</v>
      </c>
      <c r="G28" s="218">
        <f>SUM(G25:G27)</f>
        <v>0</v>
      </c>
      <c r="H28" s="218">
        <f>SUM(H25:H27)</f>
        <v>0</v>
      </c>
      <c r="I28" s="474">
        <f>SUM(I25:I27)</f>
        <v>0</v>
      </c>
    </row>
    <row r="29" spans="3:15" ht="11.25" customHeight="1" x14ac:dyDescent="0.2">
      <c r="C29" s="490" t="s">
        <v>5</v>
      </c>
      <c r="D29" s="491" t="s">
        <v>691</v>
      </c>
      <c r="I29" s="476"/>
    </row>
    <row r="30" spans="3:15" ht="11.25" customHeight="1" x14ac:dyDescent="0.2">
      <c r="C30" s="75" t="s">
        <v>107</v>
      </c>
      <c r="D30" s="93" t="s">
        <v>107</v>
      </c>
      <c r="E30" s="196">
        <f>'Detailné výkazy'!E82</f>
        <v>0</v>
      </c>
      <c r="F30" s="196">
        <f>'Detailné výkazy'!F82</f>
        <v>0</v>
      </c>
      <c r="G30" s="196">
        <f>'Detailné výkazy'!G82</f>
        <v>0</v>
      </c>
      <c r="H30" s="196">
        <f>'Detailné výkazy'!H82</f>
        <v>0</v>
      </c>
      <c r="I30" s="197">
        <f>'Detailné výkazy'!I82</f>
        <v>0</v>
      </c>
    </row>
    <row r="31" spans="3:15" ht="11.25" customHeight="1" x14ac:dyDescent="0.2">
      <c r="C31" s="75" t="s">
        <v>108</v>
      </c>
      <c r="D31" s="93" t="s">
        <v>109</v>
      </c>
      <c r="E31" s="196">
        <f>'Detailné výkazy'!E83</f>
        <v>0</v>
      </c>
      <c r="F31" s="196">
        <f>'Detailné výkazy'!F83</f>
        <v>0</v>
      </c>
      <c r="G31" s="196">
        <f>'Detailné výkazy'!G83</f>
        <v>0</v>
      </c>
      <c r="H31" s="196">
        <f>'Detailné výkazy'!H83</f>
        <v>0</v>
      </c>
      <c r="I31" s="197">
        <f>'Detailné výkazy'!I83</f>
        <v>0</v>
      </c>
    </row>
    <row r="32" spans="3:15" ht="11.25" customHeight="1" x14ac:dyDescent="0.2">
      <c r="C32" s="482" t="s">
        <v>110</v>
      </c>
      <c r="D32" s="483" t="s">
        <v>110</v>
      </c>
      <c r="E32" s="484">
        <f>'Detailné výkazy'!E84</f>
        <v>0</v>
      </c>
      <c r="F32" s="484">
        <f>'Detailné výkazy'!F84</f>
        <v>0</v>
      </c>
      <c r="G32" s="484">
        <f>'Detailné výkazy'!G84</f>
        <v>0</v>
      </c>
      <c r="H32" s="484">
        <f>'Detailné výkazy'!H84</f>
        <v>0</v>
      </c>
      <c r="I32" s="485">
        <f>'Detailné výkazy'!I84</f>
        <v>0</v>
      </c>
    </row>
    <row r="33" spans="3:9" s="487" customFormat="1" ht="11.25" customHeight="1" x14ac:dyDescent="0.2">
      <c r="C33" s="486"/>
      <c r="D33" s="95"/>
      <c r="E33" s="218">
        <f>SUM(E30:E32)</f>
        <v>0</v>
      </c>
      <c r="F33" s="218">
        <f>SUM(F30:F32)</f>
        <v>0</v>
      </c>
      <c r="G33" s="218">
        <f>SUM(G30:G32)</f>
        <v>0</v>
      </c>
      <c r="H33" s="218">
        <f>SUM(H30:H32)</f>
        <v>0</v>
      </c>
      <c r="I33" s="474">
        <f>SUM(I30:I32)</f>
        <v>0</v>
      </c>
    </row>
    <row r="34" spans="3:9" s="487" customFormat="1" ht="11.25" customHeight="1" x14ac:dyDescent="0.2">
      <c r="C34" s="490" t="s">
        <v>870</v>
      </c>
      <c r="D34" s="490" t="s">
        <v>871</v>
      </c>
      <c r="E34" s="221"/>
      <c r="F34" s="221"/>
      <c r="G34" s="221"/>
      <c r="H34" s="221"/>
      <c r="I34" s="492"/>
    </row>
    <row r="35" spans="3:9" ht="11.25" customHeight="1" x14ac:dyDescent="0.2">
      <c r="C35" s="75" t="s">
        <v>760</v>
      </c>
      <c r="D35" s="93" t="s">
        <v>692</v>
      </c>
      <c r="E35" s="196">
        <f>'Detailné výkazy'!E79</f>
        <v>0</v>
      </c>
      <c r="F35" s="196">
        <f>'Detailné výkazy'!F79</f>
        <v>0</v>
      </c>
      <c r="G35" s="196">
        <f>'Detailné výkazy'!G79</f>
        <v>0</v>
      </c>
      <c r="H35" s="196">
        <f>'Detailné výkazy'!H79</f>
        <v>0</v>
      </c>
      <c r="I35" s="197">
        <f>'Detailné výkazy'!I79</f>
        <v>0</v>
      </c>
    </row>
    <row r="36" spans="3:9" ht="11.25" customHeight="1" x14ac:dyDescent="0.2">
      <c r="C36" s="482" t="s">
        <v>761</v>
      </c>
      <c r="D36" s="483" t="s">
        <v>102</v>
      </c>
      <c r="E36" s="484">
        <f>'Detailné výkazy'!E78</f>
        <v>0</v>
      </c>
      <c r="F36" s="484">
        <f>'Detailné výkazy'!F78</f>
        <v>0</v>
      </c>
      <c r="G36" s="484">
        <f>'Detailné výkazy'!G78</f>
        <v>0</v>
      </c>
      <c r="H36" s="484">
        <f>'Detailné výkazy'!H78</f>
        <v>0</v>
      </c>
      <c r="I36" s="485">
        <f>'Detailné výkazy'!I78</f>
        <v>0</v>
      </c>
    </row>
    <row r="37" spans="3:9" ht="11.25" customHeight="1" x14ac:dyDescent="0.2">
      <c r="C37" s="478" t="s">
        <v>762</v>
      </c>
      <c r="D37" s="479" t="s">
        <v>654</v>
      </c>
      <c r="E37" s="480">
        <f>E28+E33+E36+E35</f>
        <v>0</v>
      </c>
      <c r="F37" s="480">
        <f>F28+F33+F36+F35</f>
        <v>0</v>
      </c>
      <c r="G37" s="480">
        <f>G28+G33+G36+G35</f>
        <v>0</v>
      </c>
      <c r="H37" s="480">
        <f>H28+H33+H36+H35</f>
        <v>0</v>
      </c>
      <c r="I37" s="481">
        <f>I28+I33+I36+I35</f>
        <v>0</v>
      </c>
    </row>
    <row r="38" spans="3:9" ht="11.25" customHeight="1" x14ac:dyDescent="0.2">
      <c r="C38" s="96"/>
      <c r="D38" s="96"/>
      <c r="E38" s="214"/>
      <c r="F38" s="214"/>
      <c r="G38" s="214"/>
      <c r="H38" s="214"/>
      <c r="I38" s="223"/>
    </row>
    <row r="39" spans="3:9" ht="11.25" customHeight="1" x14ac:dyDescent="0.2">
      <c r="C39" s="93" t="s">
        <v>763</v>
      </c>
      <c r="D39" s="93" t="s">
        <v>693</v>
      </c>
      <c r="E39" s="196">
        <f>'Skrátené výkazy'!E122</f>
        <v>0</v>
      </c>
      <c r="F39" s="196">
        <f>'Skrátené výkazy'!F122</f>
        <v>0</v>
      </c>
      <c r="G39" s="196">
        <f>'Skrátené výkazy'!G122</f>
        <v>0</v>
      </c>
      <c r="H39" s="196">
        <f>'Skrátené výkazy'!H122</f>
        <v>0</v>
      </c>
      <c r="I39" s="220">
        <f>'Skrátené výkazy'!I122</f>
        <v>0</v>
      </c>
    </row>
    <row r="40" spans="3:9" ht="11.25" customHeight="1" thickBot="1" x14ac:dyDescent="0.25">
      <c r="C40" s="97" t="s">
        <v>31</v>
      </c>
      <c r="D40" s="97" t="s">
        <v>79</v>
      </c>
      <c r="E40" s="216">
        <f>'Skrátené výkazy'!E37</f>
        <v>0</v>
      </c>
      <c r="F40" s="216">
        <f>'Skrátené výkazy'!F37</f>
        <v>0</v>
      </c>
      <c r="G40" s="216">
        <f>'Skrátené výkazy'!G37</f>
        <v>0</v>
      </c>
      <c r="H40" s="216">
        <f>'Skrátené výkazy'!H37</f>
        <v>0</v>
      </c>
      <c r="I40" s="224">
        <f>'Skrátené výkazy'!I37</f>
        <v>0</v>
      </c>
    </row>
    <row r="41" spans="3:9" ht="11.25" customHeight="1" x14ac:dyDescent="0.2">
      <c r="D41" s="176"/>
    </row>
    <row r="42" spans="3:9" ht="11.25" customHeight="1" x14ac:dyDescent="0.2">
      <c r="C42" s="458" t="s">
        <v>590</v>
      </c>
      <c r="D42" s="458" t="s">
        <v>590</v>
      </c>
      <c r="E42" s="177">
        <f>E37-SUM('Skrátené výkazy'!E70:E71)</f>
        <v>0</v>
      </c>
      <c r="F42" s="177">
        <f>F37-SUM('Skrátené výkazy'!F70:F71)</f>
        <v>0</v>
      </c>
      <c r="G42" s="177">
        <f>G37-SUM('Skrátené výkazy'!G70:G71)</f>
        <v>0</v>
      </c>
      <c r="H42" s="177">
        <f>H37-SUM('Skrátené výkazy'!H70:H71)</f>
        <v>0</v>
      </c>
      <c r="I42" s="177">
        <f>I37-SUM('Skrátené výkazy'!I70:I71)</f>
        <v>0</v>
      </c>
    </row>
    <row r="43" spans="3:9" ht="11.25" customHeight="1" x14ac:dyDescent="0.2"/>
    <row r="44" spans="3:9" ht="19.5" customHeight="1" x14ac:dyDescent="0.2">
      <c r="C44" s="454" t="s">
        <v>764</v>
      </c>
      <c r="D44" s="455" t="s">
        <v>695</v>
      </c>
      <c r="E44" s="493"/>
      <c r="F44" s="493"/>
      <c r="G44" s="493"/>
      <c r="H44" s="493"/>
      <c r="I44" s="494"/>
    </row>
    <row r="45" spans="3:9" ht="11.25" customHeight="1" x14ac:dyDescent="0.2">
      <c r="C45" s="495" t="str">
        <f>'Detailné výkazy'!C7</f>
        <v xml:space="preserve">€  </v>
      </c>
      <c r="D45" s="92" t="str">
        <f>'Detailné výkazy'!C7</f>
        <v xml:space="preserve">€  </v>
      </c>
      <c r="E45" s="100" t="str">
        <f>E7</f>
        <v>FY19</v>
      </c>
      <c r="F45" s="100" t="str">
        <f>F7</f>
        <v>FY20</v>
      </c>
      <c r="G45" s="100" t="str">
        <f>G7</f>
        <v>FY21</v>
      </c>
      <c r="H45" s="100" t="str">
        <f>H7</f>
        <v>FY22</v>
      </c>
      <c r="I45" s="496" t="str">
        <f>I7</f>
        <v>FY23</v>
      </c>
    </row>
    <row r="46" spans="3:9" ht="11.25" customHeight="1" x14ac:dyDescent="0.2">
      <c r="C46" s="473" t="s">
        <v>7</v>
      </c>
      <c r="D46" s="102" t="s">
        <v>116</v>
      </c>
      <c r="E46" s="214">
        <f>'Detailné výkazy'!E89</f>
        <v>0</v>
      </c>
      <c r="F46" s="214">
        <f>'Detailné výkazy'!F89</f>
        <v>0</v>
      </c>
      <c r="G46" s="214">
        <f>'Detailné výkazy'!G89</f>
        <v>0</v>
      </c>
      <c r="H46" s="214">
        <f>'Detailné výkazy'!H89</f>
        <v>0</v>
      </c>
      <c r="I46" s="215">
        <f>'Detailné výkazy'!I89</f>
        <v>0</v>
      </c>
    </row>
    <row r="47" spans="3:9" ht="11.25" customHeight="1" x14ac:dyDescent="0.2">
      <c r="C47" s="75" t="s">
        <v>765</v>
      </c>
      <c r="D47" s="93" t="s">
        <v>647</v>
      </c>
      <c r="E47" s="196">
        <f>'Detailné výkazy'!E90+'Detailné výkazy'!E91</f>
        <v>0</v>
      </c>
      <c r="F47" s="196">
        <f>'Detailné výkazy'!F90+'Detailné výkazy'!F91</f>
        <v>0</v>
      </c>
      <c r="G47" s="196">
        <f>'Detailné výkazy'!G90+'Detailné výkazy'!G91</f>
        <v>0</v>
      </c>
      <c r="H47" s="196">
        <f>'Detailné výkazy'!H90+'Detailné výkazy'!H91</f>
        <v>0</v>
      </c>
      <c r="I47" s="197">
        <f>'Detailné výkazy'!I90+'Detailné výkazy'!I91</f>
        <v>0</v>
      </c>
    </row>
    <row r="48" spans="3:9" ht="11.25" customHeight="1" x14ac:dyDescent="0.2">
      <c r="C48" s="482" t="s">
        <v>38</v>
      </c>
      <c r="D48" s="483" t="s">
        <v>138</v>
      </c>
      <c r="E48" s="484">
        <f>'Detailné výkazy'!E100+'Detailné výkazy'!E106</f>
        <v>0</v>
      </c>
      <c r="F48" s="484">
        <f>'Detailné výkazy'!F100+'Detailné výkazy'!F106</f>
        <v>0</v>
      </c>
      <c r="G48" s="484">
        <f>'Detailné výkazy'!G100+'Detailné výkazy'!G106</f>
        <v>0</v>
      </c>
      <c r="H48" s="484">
        <f>'Detailné výkazy'!H100+'Detailné výkazy'!H106</f>
        <v>0</v>
      </c>
      <c r="I48" s="485">
        <f>'Detailné výkazy'!I100+'Detailné výkazy'!I106</f>
        <v>0</v>
      </c>
    </row>
    <row r="49" spans="3:9" ht="11.25" customHeight="1" x14ac:dyDescent="0.2">
      <c r="C49" s="486" t="s">
        <v>766</v>
      </c>
      <c r="D49" s="95" t="s">
        <v>696</v>
      </c>
      <c r="E49" s="218">
        <f>SUM(E46:E47)-E48</f>
        <v>0</v>
      </c>
      <c r="F49" s="218">
        <f>SUM(F46:F47)-F48</f>
        <v>0</v>
      </c>
      <c r="G49" s="218">
        <f>SUM(G46:G47)-G48</f>
        <v>0</v>
      </c>
      <c r="H49" s="218">
        <f>SUM(H46:H47)-H48</f>
        <v>0</v>
      </c>
      <c r="I49" s="474">
        <f>SUM(I46:I47)-I48</f>
        <v>0</v>
      </c>
    </row>
    <row r="50" spans="3:9" ht="11.25" customHeight="1" x14ac:dyDescent="0.2">
      <c r="C50" s="497" t="s">
        <v>767</v>
      </c>
      <c r="D50" s="104" t="s">
        <v>697</v>
      </c>
      <c r="E50" s="105">
        <f>IFERROR(E49/E$8,0)</f>
        <v>0</v>
      </c>
      <c r="F50" s="105">
        <f t="shared" ref="F50:I50" si="3">IFERROR(F49/F$8,0)</f>
        <v>0</v>
      </c>
      <c r="G50" s="105">
        <f t="shared" si="3"/>
        <v>0</v>
      </c>
      <c r="H50" s="105">
        <f t="shared" si="3"/>
        <v>0</v>
      </c>
      <c r="I50" s="498">
        <f t="shared" si="3"/>
        <v>0</v>
      </c>
    </row>
    <row r="51" spans="3:9" ht="11.25" customHeight="1" x14ac:dyDescent="0.2">
      <c r="C51" s="75"/>
      <c r="D51" s="93"/>
      <c r="E51" s="76"/>
      <c r="F51" s="76"/>
      <c r="G51" s="76"/>
      <c r="H51" s="76"/>
      <c r="I51" s="499"/>
    </row>
    <row r="52" spans="3:9" ht="11.25" customHeight="1" x14ac:dyDescent="0.2">
      <c r="C52" s="75" t="s">
        <v>768</v>
      </c>
      <c r="D52" s="93" t="s">
        <v>454</v>
      </c>
      <c r="E52" s="196">
        <f>-'Detailné výkazy'!E109</f>
        <v>0</v>
      </c>
      <c r="F52" s="196">
        <f>-'Detailné výkazy'!F109</f>
        <v>0</v>
      </c>
      <c r="G52" s="196">
        <f>-'Detailné výkazy'!G109</f>
        <v>0</v>
      </c>
      <c r="H52" s="196">
        <f>-'Detailné výkazy'!H109</f>
        <v>0</v>
      </c>
      <c r="I52" s="197">
        <f>-'Detailné výkazy'!I109</f>
        <v>0</v>
      </c>
    </row>
    <row r="53" spans="3:9" ht="11.25" customHeight="1" x14ac:dyDescent="0.2">
      <c r="C53" s="75" t="s">
        <v>769</v>
      </c>
      <c r="D53" s="93" t="s">
        <v>698</v>
      </c>
      <c r="E53" s="196">
        <f>'Detailné výkazy'!E87-'Detailné výkazy'!E103-'Detailné výkazy'!E110-'Detailné výkazy'!E118</f>
        <v>0</v>
      </c>
      <c r="F53" s="196">
        <f>'Detailné výkazy'!F87-'Detailné výkazy'!F103-'Detailné výkazy'!F110-'Detailné výkazy'!F118</f>
        <v>0</v>
      </c>
      <c r="G53" s="196">
        <f>'Detailné výkazy'!G87-'Detailné výkazy'!G103-'Detailné výkazy'!G110-'Detailné výkazy'!G118</f>
        <v>0</v>
      </c>
      <c r="H53" s="196">
        <f>'Detailné výkazy'!H87-'Detailné výkazy'!H103-'Detailné výkazy'!H110-'Detailné výkazy'!H118</f>
        <v>0</v>
      </c>
      <c r="I53" s="197">
        <f>'Detailné výkazy'!I87-'Detailné výkazy'!I103-'Detailné výkazy'!I110-'Detailné výkazy'!I118</f>
        <v>0</v>
      </c>
    </row>
    <row r="54" spans="3:9" ht="11.25" customHeight="1" x14ac:dyDescent="0.2">
      <c r="C54" s="477" t="s">
        <v>770</v>
      </c>
      <c r="D54" s="94" t="s">
        <v>699</v>
      </c>
      <c r="E54" s="221">
        <f>E55+E56+E57+E58+E59</f>
        <v>0</v>
      </c>
      <c r="F54" s="221">
        <f t="shared" ref="F54:I54" si="4">F55+F56+F57+F58+F59</f>
        <v>0</v>
      </c>
      <c r="G54" s="221">
        <f t="shared" si="4"/>
        <v>0</v>
      </c>
      <c r="H54" s="221">
        <f t="shared" si="4"/>
        <v>0</v>
      </c>
      <c r="I54" s="492">
        <f t="shared" si="4"/>
        <v>0</v>
      </c>
    </row>
    <row r="55" spans="3:9" ht="11.25" customHeight="1" x14ac:dyDescent="0.2">
      <c r="C55" s="143" t="s">
        <v>771</v>
      </c>
      <c r="D55" s="191" t="s">
        <v>785</v>
      </c>
      <c r="E55" s="196">
        <f>'Detailné výkazy'!E92+'Detailné výkazy'!E93</f>
        <v>0</v>
      </c>
      <c r="F55" s="196">
        <f>'Detailné výkazy'!F92+'Detailné výkazy'!F93</f>
        <v>0</v>
      </c>
      <c r="G55" s="196">
        <f>'Detailné výkazy'!G92+'Detailné výkazy'!G93</f>
        <v>0</v>
      </c>
      <c r="H55" s="196">
        <f>'Detailné výkazy'!H92+'Detailné výkazy'!H93</f>
        <v>0</v>
      </c>
      <c r="I55" s="197">
        <f>'Detailné výkazy'!I92+'Detailné výkazy'!I93</f>
        <v>0</v>
      </c>
    </row>
    <row r="56" spans="3:9" ht="11.25" customHeight="1" x14ac:dyDescent="0.2">
      <c r="C56" s="143" t="s">
        <v>772</v>
      </c>
      <c r="D56" s="191" t="s">
        <v>786</v>
      </c>
      <c r="E56" s="196">
        <f>'Detailné výkazy'!E95+'Detailné výkazy'!E97</f>
        <v>0</v>
      </c>
      <c r="F56" s="196">
        <f>'Detailné výkazy'!F95+'Detailné výkazy'!F97</f>
        <v>0</v>
      </c>
      <c r="G56" s="196">
        <f>'Detailné výkazy'!G95+'Detailné výkazy'!G97</f>
        <v>0</v>
      </c>
      <c r="H56" s="196">
        <f>'Detailné výkazy'!H95+'Detailné výkazy'!H97</f>
        <v>0</v>
      </c>
      <c r="I56" s="197">
        <f>'Detailné výkazy'!I95+'Detailné výkazy'!I97</f>
        <v>0</v>
      </c>
    </row>
    <row r="57" spans="3:9" ht="11.25" customHeight="1" x14ac:dyDescent="0.2">
      <c r="C57" s="143" t="s">
        <v>773</v>
      </c>
      <c r="D57" s="191" t="s">
        <v>787</v>
      </c>
      <c r="E57" s="196">
        <f>-'Detailné výkazy'!E101-'Detailné výkazy'!E102</f>
        <v>0</v>
      </c>
      <c r="F57" s="196">
        <f>-'Detailné výkazy'!F101-'Detailné výkazy'!F102</f>
        <v>0</v>
      </c>
      <c r="G57" s="196">
        <f>-'Detailné výkazy'!G101-'Detailné výkazy'!G102</f>
        <v>0</v>
      </c>
      <c r="H57" s="196">
        <f>-'Detailné výkazy'!H101-'Detailné výkazy'!H102</f>
        <v>0</v>
      </c>
      <c r="I57" s="197">
        <f>-'Detailné výkazy'!I101-'Detailné výkazy'!I102</f>
        <v>0</v>
      </c>
    </row>
    <row r="58" spans="3:9" ht="11.25" customHeight="1" x14ac:dyDescent="0.2">
      <c r="C58" s="143" t="s">
        <v>774</v>
      </c>
      <c r="D58" s="191" t="s">
        <v>788</v>
      </c>
      <c r="E58" s="196">
        <f>-'Detailné výkazy'!E107-'Detailné výkazy'!E108</f>
        <v>0</v>
      </c>
      <c r="F58" s="196">
        <f>-'Detailné výkazy'!F107-'Detailné výkazy'!F108</f>
        <v>0</v>
      </c>
      <c r="G58" s="196">
        <f>-'Detailné výkazy'!G107-'Detailné výkazy'!G108</f>
        <v>0</v>
      </c>
      <c r="H58" s="196">
        <f>-'Detailné výkazy'!H107-'Detailné výkazy'!H108</f>
        <v>0</v>
      </c>
      <c r="I58" s="197">
        <f>-'Detailné výkazy'!I107-'Detailné výkazy'!I108</f>
        <v>0</v>
      </c>
    </row>
    <row r="59" spans="3:9" ht="11.25" customHeight="1" x14ac:dyDescent="0.2">
      <c r="C59" s="502" t="s">
        <v>775</v>
      </c>
      <c r="D59" s="503" t="s">
        <v>789</v>
      </c>
      <c r="E59" s="484">
        <f>-'Detailné výkazy'!E116</f>
        <v>0</v>
      </c>
      <c r="F59" s="484">
        <f>-'Detailné výkazy'!F116</f>
        <v>0</v>
      </c>
      <c r="G59" s="484">
        <f>-'Detailné výkazy'!G116</f>
        <v>0</v>
      </c>
      <c r="H59" s="484">
        <f>-'Detailné výkazy'!H116</f>
        <v>0</v>
      </c>
      <c r="I59" s="485">
        <f>-'Detailné výkazy'!I116</f>
        <v>0</v>
      </c>
    </row>
    <row r="60" spans="3:9" ht="11.25" customHeight="1" x14ac:dyDescent="0.2">
      <c r="C60" s="478" t="s">
        <v>776</v>
      </c>
      <c r="D60" s="479" t="s">
        <v>700</v>
      </c>
      <c r="E60" s="480">
        <f>E49+E52+E53+E54</f>
        <v>0</v>
      </c>
      <c r="F60" s="480">
        <f>F49+F52+F53+F54</f>
        <v>0</v>
      </c>
      <c r="G60" s="480">
        <f>G49+G52+G53+G54</f>
        <v>0</v>
      </c>
      <c r="H60" s="480">
        <f>H49+H52+H53+H54</f>
        <v>0</v>
      </c>
      <c r="I60" s="481">
        <f>I49+I52+I53+I54</f>
        <v>0</v>
      </c>
    </row>
    <row r="61" spans="3:9" ht="11.25" customHeight="1" x14ac:dyDescent="0.2">
      <c r="C61" s="473" t="s">
        <v>777</v>
      </c>
      <c r="D61" s="102" t="s">
        <v>790</v>
      </c>
      <c r="E61" s="214">
        <f>E49-'Čisté aktíva'!E22</f>
        <v>0</v>
      </c>
      <c r="F61" s="214">
        <f>F49-'Čisté aktíva'!F22</f>
        <v>0</v>
      </c>
      <c r="G61" s="214">
        <f>G49-'Čisté aktíva'!G22</f>
        <v>0</v>
      </c>
      <c r="H61" s="214">
        <f>H49-'Čisté aktíva'!H22</f>
        <v>0</v>
      </c>
      <c r="I61" s="215">
        <f>I49-'Čisté aktíva'!I22</f>
        <v>0</v>
      </c>
    </row>
    <row r="62" spans="3:9" ht="11.25" customHeight="1" x14ac:dyDescent="0.2">
      <c r="C62" s="75" t="s">
        <v>778</v>
      </c>
      <c r="D62" s="93" t="s">
        <v>791</v>
      </c>
      <c r="E62" s="196">
        <f>E60-('Čisté aktíva'!E26+'Čisté aktíva'!E32)</f>
        <v>0</v>
      </c>
      <c r="F62" s="196">
        <f>F60-('Čisté aktíva'!F26+'Čisté aktíva'!F32)</f>
        <v>0</v>
      </c>
      <c r="G62" s="196">
        <f>G60-('Čisté aktíva'!G26+'Čisté aktíva'!G32)</f>
        <v>0</v>
      </c>
      <c r="H62" s="196">
        <f>H60-('Čisté aktíva'!H26+'Čisté aktíva'!H32)</f>
        <v>0</v>
      </c>
      <c r="I62" s="197">
        <f>I60-('Čisté aktíva'!I26+'Čisté aktíva'!I32)</f>
        <v>0</v>
      </c>
    </row>
    <row r="63" spans="3:9" ht="11.25" customHeight="1" x14ac:dyDescent="0.2">
      <c r="C63" s="482"/>
      <c r="D63" s="483"/>
      <c r="E63" s="504"/>
      <c r="F63" s="504"/>
      <c r="G63" s="504"/>
      <c r="H63" s="504"/>
      <c r="I63" s="505"/>
    </row>
    <row r="64" spans="3:9" ht="11.25" customHeight="1" x14ac:dyDescent="0.2">
      <c r="C64" s="486" t="s">
        <v>779</v>
      </c>
      <c r="D64" s="95" t="s">
        <v>702</v>
      </c>
      <c r="E64" s="214"/>
      <c r="F64" s="214"/>
      <c r="G64" s="214"/>
      <c r="H64" s="214"/>
      <c r="I64" s="215"/>
    </row>
    <row r="65" spans="3:9" ht="11.25" customHeight="1" x14ac:dyDescent="0.2">
      <c r="C65" s="75" t="s">
        <v>7</v>
      </c>
      <c r="D65" s="93" t="s">
        <v>116</v>
      </c>
      <c r="E65" s="196">
        <f>IFERROR((E46/-SUM(E77:E79)*365),0)</f>
        <v>0</v>
      </c>
      <c r="F65" s="196">
        <f t="shared" ref="F65:I65" si="5">IFERROR((F46/-SUM(F77:F79)*365),0)</f>
        <v>0</v>
      </c>
      <c r="G65" s="196">
        <f t="shared" si="5"/>
        <v>0</v>
      </c>
      <c r="H65" s="196">
        <f t="shared" si="5"/>
        <v>0</v>
      </c>
      <c r="I65" s="197">
        <f t="shared" si="5"/>
        <v>0</v>
      </c>
    </row>
    <row r="66" spans="3:9" ht="11.25" customHeight="1" x14ac:dyDescent="0.2">
      <c r="C66" s="75" t="s">
        <v>765</v>
      </c>
      <c r="D66" s="93" t="s">
        <v>647</v>
      </c>
      <c r="E66" s="196">
        <f>IFERROR((E47/SUM(E74:E76)*365),0)</f>
        <v>0</v>
      </c>
      <c r="F66" s="196">
        <f t="shared" ref="F66:I66" si="6">IFERROR((F47/SUM(F74:F76)*365),0)</f>
        <v>0</v>
      </c>
      <c r="G66" s="196">
        <f>IFERROR((G47/SUM(G74:G76)*365),0)</f>
        <v>0</v>
      </c>
      <c r="H66" s="196">
        <f t="shared" si="6"/>
        <v>0</v>
      </c>
      <c r="I66" s="197">
        <f t="shared" si="6"/>
        <v>0</v>
      </c>
    </row>
    <row r="67" spans="3:9" ht="11.25" customHeight="1" x14ac:dyDescent="0.2">
      <c r="C67" s="482" t="s">
        <v>38</v>
      </c>
      <c r="D67" s="483" t="s">
        <v>138</v>
      </c>
      <c r="E67" s="484">
        <f>IFERROR((E48/-SUM(E80,E77:E78)*365),0)</f>
        <v>0</v>
      </c>
      <c r="F67" s="484">
        <f t="shared" ref="F67:I67" si="7">IFERROR((F48/-SUM(F80,F77:F78)*365),0)</f>
        <v>0</v>
      </c>
      <c r="G67" s="484">
        <f t="shared" si="7"/>
        <v>0</v>
      </c>
      <c r="H67" s="484">
        <f>IFERROR((H48/-SUM(H80,H77:H78)*365),0)</f>
        <v>0</v>
      </c>
      <c r="I67" s="485">
        <f t="shared" si="7"/>
        <v>0</v>
      </c>
    </row>
    <row r="68" spans="3:9" ht="11.25" customHeight="1" thickBot="1" x14ac:dyDescent="0.25">
      <c r="C68" s="500" t="s">
        <v>780</v>
      </c>
      <c r="D68" s="107" t="s">
        <v>701</v>
      </c>
      <c r="E68" s="229">
        <f>E65+E66-E67</f>
        <v>0</v>
      </c>
      <c r="F68" s="229">
        <f>F65+F66-F67</f>
        <v>0</v>
      </c>
      <c r="G68" s="229">
        <f>G65+G66-G67</f>
        <v>0</v>
      </c>
      <c r="H68" s="229">
        <f>H65+H66-H67</f>
        <v>0</v>
      </c>
      <c r="I68" s="501">
        <f>I65+I66-I67</f>
        <v>0</v>
      </c>
    </row>
    <row r="69" spans="3:9" ht="11.25" customHeight="1" x14ac:dyDescent="0.2"/>
    <row r="70" spans="3:9" ht="11.25" customHeight="1" x14ac:dyDescent="0.2"/>
    <row r="71" spans="3:9" ht="11.25" customHeight="1" x14ac:dyDescent="0.2"/>
    <row r="72" spans="3:9" ht="19.5" customHeight="1" x14ac:dyDescent="0.2">
      <c r="C72" s="422" t="s">
        <v>781</v>
      </c>
      <c r="D72" s="423" t="s">
        <v>784</v>
      </c>
      <c r="E72" s="423"/>
      <c r="F72" s="423"/>
      <c r="G72" s="423"/>
      <c r="H72" s="423"/>
      <c r="I72" s="424"/>
    </row>
    <row r="73" spans="3:9" ht="11.25" customHeight="1" x14ac:dyDescent="0.2">
      <c r="C73" s="344" t="str">
        <f>D45</f>
        <v xml:space="preserve">€  </v>
      </c>
      <c r="D73" s="426" t="str">
        <f>D45</f>
        <v xml:space="preserve">€  </v>
      </c>
      <c r="E73" s="346" t="str">
        <f>E7</f>
        <v>FY19</v>
      </c>
      <c r="F73" s="346" t="str">
        <f>F7</f>
        <v>FY20</v>
      </c>
      <c r="G73" s="346" t="str">
        <f>G7</f>
        <v>FY21</v>
      </c>
      <c r="H73" s="346" t="str">
        <f>H7</f>
        <v>FY22</v>
      </c>
      <c r="I73" s="347" t="str">
        <f>I7</f>
        <v>FY23</v>
      </c>
    </row>
    <row r="74" spans="3:9" ht="11.25" customHeight="1" x14ac:dyDescent="0.2">
      <c r="C74" s="425" t="s">
        <v>19</v>
      </c>
      <c r="D74" s="192" t="s">
        <v>45</v>
      </c>
      <c r="E74" s="231">
        <f>'Detailné výkazy'!E11</f>
        <v>0</v>
      </c>
      <c r="F74" s="231">
        <f>'Detailné výkazy'!F11</f>
        <v>0</v>
      </c>
      <c r="G74" s="231">
        <f>'Detailné výkazy'!G11</f>
        <v>0</v>
      </c>
      <c r="H74" s="231">
        <f>'Detailné výkazy'!H11</f>
        <v>0</v>
      </c>
      <c r="I74" s="366">
        <f>'Detailné výkazy'!I11</f>
        <v>0</v>
      </c>
    </row>
    <row r="75" spans="3:9" ht="11.25" customHeight="1" x14ac:dyDescent="0.2">
      <c r="C75" s="425" t="s">
        <v>792</v>
      </c>
      <c r="D75" s="192" t="s">
        <v>745</v>
      </c>
      <c r="E75" s="231">
        <f>'Detailné výkazy'!E37</f>
        <v>0</v>
      </c>
      <c r="F75" s="231">
        <f>'Detailné výkazy'!F37</f>
        <v>0</v>
      </c>
      <c r="G75" s="231">
        <f>'Detailné výkazy'!G37</f>
        <v>0</v>
      </c>
      <c r="H75" s="231">
        <f>'Detailné výkazy'!H37</f>
        <v>0</v>
      </c>
      <c r="I75" s="366">
        <f>'Detailné výkazy'!I37</f>
        <v>0</v>
      </c>
    </row>
    <row r="76" spans="3:9" ht="11.25" customHeight="1" x14ac:dyDescent="0.2">
      <c r="C76" s="425" t="s">
        <v>604</v>
      </c>
      <c r="D76" s="192" t="s">
        <v>746</v>
      </c>
      <c r="E76" s="231">
        <f>'Detailné výkazy'!E41</f>
        <v>0</v>
      </c>
      <c r="F76" s="231">
        <f>'Detailné výkazy'!F41</f>
        <v>0</v>
      </c>
      <c r="G76" s="231">
        <f>'Detailné výkazy'!G41</f>
        <v>0</v>
      </c>
      <c r="H76" s="231">
        <f>'Detailné výkazy'!H41</f>
        <v>0</v>
      </c>
      <c r="I76" s="366">
        <f>'Detailné výkazy'!I41</f>
        <v>0</v>
      </c>
    </row>
    <row r="77" spans="3:9" ht="11.25" customHeight="1" x14ac:dyDescent="0.2">
      <c r="C77" s="425" t="s">
        <v>607</v>
      </c>
      <c r="D77" s="192" t="s">
        <v>607</v>
      </c>
      <c r="E77" s="231">
        <f>'Skrátené výkazy'!E14</f>
        <v>0</v>
      </c>
      <c r="F77" s="231">
        <f>'Skrátené výkazy'!F14</f>
        <v>0</v>
      </c>
      <c r="G77" s="231">
        <f>'Skrátené výkazy'!G14</f>
        <v>0</v>
      </c>
      <c r="H77" s="231">
        <f>'Skrátené výkazy'!H14</f>
        <v>0</v>
      </c>
      <c r="I77" s="366">
        <f>'Skrátené výkazy'!I14</f>
        <v>0</v>
      </c>
    </row>
    <row r="78" spans="3:9" ht="11.25" customHeight="1" x14ac:dyDescent="0.2">
      <c r="C78" s="425" t="s">
        <v>782</v>
      </c>
      <c r="D78" s="192" t="s">
        <v>747</v>
      </c>
      <c r="E78" s="231">
        <f>'Skrátené výkazy'!E15</f>
        <v>0</v>
      </c>
      <c r="F78" s="231">
        <f>'Skrátené výkazy'!F15</f>
        <v>0</v>
      </c>
      <c r="G78" s="231">
        <f>'Skrátené výkazy'!G15</f>
        <v>0</v>
      </c>
      <c r="H78" s="231">
        <f>'Skrátené výkazy'!H15</f>
        <v>0</v>
      </c>
      <c r="I78" s="366">
        <f>'Skrátené výkazy'!I15</f>
        <v>0</v>
      </c>
    </row>
    <row r="79" spans="3:9" ht="11.25" customHeight="1" x14ac:dyDescent="0.2">
      <c r="C79" s="425" t="s">
        <v>783</v>
      </c>
      <c r="D79" s="192" t="s">
        <v>54</v>
      </c>
      <c r="E79" s="231">
        <f>'Skrátené výkazy'!E16</f>
        <v>0</v>
      </c>
      <c r="F79" s="231">
        <f>'Skrátené výkazy'!F16</f>
        <v>0</v>
      </c>
      <c r="G79" s="231">
        <f>'Skrátené výkazy'!G16</f>
        <v>0</v>
      </c>
      <c r="H79" s="231">
        <f>'Skrátené výkazy'!H16</f>
        <v>0</v>
      </c>
      <c r="I79" s="366">
        <f>'Skrátené výkazy'!I16</f>
        <v>0</v>
      </c>
    </row>
    <row r="80" spans="3:9" ht="11.25" customHeight="1" thickBot="1" x14ac:dyDescent="0.25">
      <c r="C80" s="427" t="s">
        <v>25</v>
      </c>
      <c r="D80" s="428" t="s">
        <v>53</v>
      </c>
      <c r="E80" s="429">
        <f>'Skrátené výkazy'!E24</f>
        <v>0</v>
      </c>
      <c r="F80" s="429">
        <f>'Skrátené výkazy'!F24</f>
        <v>0</v>
      </c>
      <c r="G80" s="429">
        <f>'Skrátené výkazy'!G24</f>
        <v>0</v>
      </c>
      <c r="H80" s="429">
        <f>'Skrátené výkazy'!H24</f>
        <v>0</v>
      </c>
      <c r="I80" s="430">
        <f>'Skrátené výkazy'!I24</f>
        <v>0</v>
      </c>
    </row>
    <row r="81" x14ac:dyDescent="0.2"/>
    <row r="82" x14ac:dyDescent="0.2"/>
    <row r="92" ht="12" hidden="1" customHeight="1" x14ac:dyDescent="0.2"/>
    <row r="93" ht="12" hidden="1" customHeight="1" x14ac:dyDescent="0.2"/>
    <row r="97" spans="4:9" hidden="1" x14ac:dyDescent="0.2">
      <c r="H97" s="178"/>
      <c r="I97" s="179"/>
    </row>
    <row r="98" spans="4:9" hidden="1" x14ac:dyDescent="0.2">
      <c r="I98" s="179"/>
    </row>
    <row r="99" spans="4:9" ht="12" hidden="1" customHeight="1" x14ac:dyDescent="0.2">
      <c r="I99" s="179"/>
    </row>
    <row r="100" spans="4:9" ht="12" hidden="1" customHeight="1" x14ac:dyDescent="0.2">
      <c r="I100" s="179"/>
    </row>
    <row r="101" spans="4:9" hidden="1" x14ac:dyDescent="0.2">
      <c r="E101" s="179"/>
      <c r="F101" s="178"/>
      <c r="G101" s="179"/>
      <c r="H101" s="178"/>
      <c r="I101" s="179"/>
    </row>
    <row r="102" spans="4:9" hidden="1" x14ac:dyDescent="0.2">
      <c r="D102" s="180"/>
      <c r="E102" s="179"/>
      <c r="F102" s="178"/>
      <c r="G102" s="179"/>
      <c r="H102" s="178"/>
      <c r="I102" s="179"/>
    </row>
    <row r="103" spans="4:9" hidden="1" x14ac:dyDescent="0.2">
      <c r="D103" s="180"/>
      <c r="E103" s="179"/>
      <c r="F103" s="179"/>
      <c r="G103" s="179"/>
      <c r="H103" s="179"/>
      <c r="I103" s="179"/>
    </row>
    <row r="104" spans="4:9" hidden="1" x14ac:dyDescent="0.2">
      <c r="D104" s="180"/>
      <c r="E104" s="179"/>
      <c r="F104" s="179"/>
      <c r="G104" s="179"/>
      <c r="H104" s="179"/>
      <c r="I104" s="179"/>
    </row>
    <row r="105" spans="4:9" hidden="1" x14ac:dyDescent="0.2">
      <c r="D105" s="180"/>
      <c r="E105" s="181"/>
      <c r="F105" s="181"/>
      <c r="G105" s="181"/>
      <c r="H105" s="181"/>
      <c r="I105" s="181"/>
    </row>
    <row r="106" spans="4:9" hidden="1" x14ac:dyDescent="0.2">
      <c r="D106" s="180"/>
      <c r="E106" s="181"/>
      <c r="F106" s="181"/>
      <c r="G106" s="181"/>
      <c r="H106" s="181"/>
      <c r="I106" s="181"/>
    </row>
    <row r="107" spans="4:9" hidden="1" x14ac:dyDescent="0.2">
      <c r="D107" s="180"/>
      <c r="E107" s="181"/>
      <c r="F107" s="181"/>
      <c r="G107" s="181"/>
      <c r="H107" s="181"/>
      <c r="I107" s="181"/>
    </row>
    <row r="108" spans="4:9" hidden="1" x14ac:dyDescent="0.2">
      <c r="D108" s="180"/>
      <c r="E108" s="181"/>
      <c r="F108" s="181"/>
      <c r="G108" s="181"/>
      <c r="H108" s="181"/>
      <c r="I108" s="181"/>
    </row>
    <row r="109" spans="4:9" hidden="1" x14ac:dyDescent="0.2">
      <c r="D109" s="180"/>
      <c r="E109" s="181"/>
      <c r="F109" s="181"/>
      <c r="G109" s="181"/>
      <c r="H109" s="181"/>
      <c r="I109" s="181"/>
    </row>
  </sheetData>
  <conditionalFormatting sqref="C42:I42">
    <cfRule type="expression" dxfId="5" priority="1">
      <formula>SUM($E$42:$I$42)=0</formula>
    </cfRule>
  </conditionalFormatting>
  <dataValidations disablePrompts="1" count="1">
    <dataValidation type="list" allowBlank="1" showInputMessage="1" showErrorMessage="1" sqref="L8:L9" xr:uid="{00000000-0002-0000-0300-000000000000}">
      <formula1>$O$8:$O$12</formula1>
    </dataValidation>
  </dataValidations>
  <pageMargins left="0.7" right="0.7" top="0.75" bottom="0.75" header="0.3" footer="0.3"/>
  <pageSetup paperSize="9" orientation="portrait" r:id="rId1"/>
  <headerFooter>
    <oddFooter>&amp;C&amp;7&amp;B&amp;"Arial"Document Classification: KPMG Confidential</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B050"/>
    <outlinePr summaryBelow="0"/>
  </sheetPr>
  <dimension ref="A1:AA46"/>
  <sheetViews>
    <sheetView showGridLines="0" topLeftCell="A13" zoomScaleNormal="100" workbookViewId="0">
      <selection activeCell="G44" sqref="G44"/>
    </sheetView>
  </sheetViews>
  <sheetFormatPr defaultColWidth="0" defaultRowHeight="11.25" zeroHeight="1" x14ac:dyDescent="0.2"/>
  <cols>
    <col min="1" max="1" width="2.85546875" style="2" customWidth="1"/>
    <col min="2" max="2" width="2.85546875" style="2" hidden="1" customWidth="1"/>
    <col min="3" max="3" width="42.85546875" style="2" hidden="1" customWidth="1"/>
    <col min="4" max="4" width="42.85546875" style="2" customWidth="1"/>
    <col min="5" max="9" width="10.7109375" style="2" customWidth="1"/>
    <col min="10" max="10" width="2.5703125" style="2" customWidth="1"/>
    <col min="11" max="11" width="12" style="2" hidden="1" customWidth="1"/>
    <col min="12" max="15" width="9.140625" style="2" hidden="1" customWidth="1"/>
    <col min="16" max="16" width="2.5703125" style="2" hidden="1" customWidth="1"/>
    <col min="17" max="27" width="0" style="2" hidden="1" customWidth="1"/>
    <col min="28" max="16384" width="9.140625" style="2" hidden="1"/>
  </cols>
  <sheetData>
    <row r="1" spans="1:27" x14ac:dyDescent="0.2">
      <c r="A1" s="190"/>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row>
    <row r="2" spans="1:27" ht="21" customHeight="1" x14ac:dyDescent="0.2">
      <c r="A2" s="190"/>
      <c r="B2" s="190"/>
      <c r="C2" s="374" t="str">
        <f>CONCATENATE("Analysis of financial results: ",Aktíva!D1)</f>
        <v>Analysis of financial results: XXY s.r.o.</v>
      </c>
      <c r="D2" s="694" t="str">
        <f>CONCATENATE("Analýza finančných výsledkov: ",Aktíva!D1)</f>
        <v>Analýza finančných výsledkov: XXY s.r.o.</v>
      </c>
      <c r="E2" s="375"/>
      <c r="F2" s="190"/>
      <c r="G2" s="190"/>
      <c r="H2" s="190"/>
      <c r="I2" s="190"/>
      <c r="J2" s="190"/>
      <c r="K2" s="190"/>
      <c r="L2" s="190"/>
      <c r="M2" s="190"/>
      <c r="N2" s="190"/>
      <c r="O2" s="190"/>
      <c r="P2" s="190"/>
      <c r="Q2" s="190"/>
      <c r="R2" s="190"/>
      <c r="S2" s="190"/>
      <c r="T2" s="190"/>
      <c r="U2" s="190"/>
      <c r="V2" s="190"/>
      <c r="W2" s="190"/>
      <c r="X2" s="190"/>
      <c r="Y2" s="190"/>
      <c r="Z2" s="190"/>
      <c r="AA2" s="190"/>
    </row>
    <row r="3" spans="1:27" s="273" customFormat="1" x14ac:dyDescent="0.2"/>
    <row r="4" spans="1:27" x14ac:dyDescent="0.2">
      <c r="C4" s="6"/>
      <c r="D4" s="6"/>
      <c r="E4" s="183"/>
      <c r="F4" s="183"/>
      <c r="G4" s="183"/>
      <c r="H4" s="183"/>
      <c r="I4" s="183"/>
      <c r="J4" s="182"/>
    </row>
    <row r="5" spans="1:27" hidden="1" x14ac:dyDescent="0.2">
      <c r="C5" s="6"/>
      <c r="D5" s="6"/>
      <c r="E5" s="184">
        <f>F5-1</f>
        <v>1</v>
      </c>
      <c r="F5" s="184">
        <f>G5-1</f>
        <v>2</v>
      </c>
      <c r="G5" s="184">
        <f>H5-1</f>
        <v>3</v>
      </c>
      <c r="H5" s="184">
        <f>I5-1</f>
        <v>4</v>
      </c>
      <c r="I5" s="184">
        <v>5</v>
      </c>
      <c r="J5" s="182"/>
    </row>
    <row r="6" spans="1:27" x14ac:dyDescent="0.2">
      <c r="C6" s="185"/>
      <c r="D6" s="185"/>
      <c r="G6" s="186"/>
      <c r="H6" s="186"/>
      <c r="I6" s="186"/>
      <c r="J6" s="172"/>
    </row>
    <row r="7" spans="1:27" ht="19.5" customHeight="1" x14ac:dyDescent="0.2">
      <c r="C7" s="454" t="s">
        <v>705</v>
      </c>
      <c r="D7" s="455" t="s">
        <v>93</v>
      </c>
      <c r="E7" s="455"/>
      <c r="F7" s="455"/>
      <c r="G7" s="455"/>
      <c r="H7" s="455"/>
      <c r="I7" s="456"/>
    </row>
    <row r="8" spans="1:27" x14ac:dyDescent="0.2">
      <c r="C8" s="452" t="str">
        <f>'Detailné výkazy'!C7</f>
        <v xml:space="preserve">€  </v>
      </c>
      <c r="D8" s="453" t="str">
        <f>'Detailné výkazy'!C7</f>
        <v xml:space="preserve">€  </v>
      </c>
      <c r="E8" s="310" t="str">
        <f>'Detailné výkazy'!E7</f>
        <v>FY19</v>
      </c>
      <c r="F8" s="310" t="str">
        <f>'Detailné výkazy'!F7</f>
        <v>FY20</v>
      </c>
      <c r="G8" s="310" t="str">
        <f>'Detailné výkazy'!G7</f>
        <v>FY21</v>
      </c>
      <c r="H8" s="310" t="str">
        <f>'Detailné výkazy'!H7</f>
        <v>FY22</v>
      </c>
      <c r="I8" s="311" t="str">
        <f>'Detailné výkazy'!I7</f>
        <v>FY23</v>
      </c>
    </row>
    <row r="9" spans="1:27" x14ac:dyDescent="0.2">
      <c r="C9" s="434"/>
      <c r="D9" s="52"/>
      <c r="E9" s="431"/>
      <c r="F9" s="431"/>
      <c r="G9" s="431"/>
      <c r="H9" s="431"/>
      <c r="I9" s="432"/>
    </row>
    <row r="10" spans="1:27" x14ac:dyDescent="0.2">
      <c r="C10" s="433" t="s">
        <v>36</v>
      </c>
      <c r="D10" s="189" t="s">
        <v>644</v>
      </c>
      <c r="E10" s="431"/>
      <c r="F10" s="431"/>
      <c r="G10" s="431"/>
      <c r="H10" s="431"/>
      <c r="I10" s="432"/>
    </row>
    <row r="11" spans="1:27" x14ac:dyDescent="0.2">
      <c r="C11" s="434" t="s">
        <v>5</v>
      </c>
      <c r="D11" s="52" t="s">
        <v>691</v>
      </c>
      <c r="E11" s="431">
        <f>'Detailné výkazy'!E85</f>
        <v>0</v>
      </c>
      <c r="F11" s="431">
        <f>'Detailné výkazy'!F85</f>
        <v>0</v>
      </c>
      <c r="G11" s="431">
        <f>'Detailné výkazy'!G85</f>
        <v>0</v>
      </c>
      <c r="H11" s="431">
        <f>'Detailné výkazy'!H85</f>
        <v>0</v>
      </c>
      <c r="I11" s="432">
        <f>'Detailné výkazy'!I85</f>
        <v>0</v>
      </c>
    </row>
    <row r="12" spans="1:27" x14ac:dyDescent="0.2">
      <c r="C12" s="434" t="s">
        <v>737</v>
      </c>
      <c r="D12" s="52" t="s">
        <v>96</v>
      </c>
      <c r="E12" s="431">
        <f>'Detailné výkazy'!E75</f>
        <v>0</v>
      </c>
      <c r="F12" s="431">
        <f>'Detailné výkazy'!F75</f>
        <v>0</v>
      </c>
      <c r="G12" s="431">
        <f>'Detailné výkazy'!G75</f>
        <v>0</v>
      </c>
      <c r="H12" s="431">
        <f>'Detailné výkazy'!H75</f>
        <v>0</v>
      </c>
      <c r="I12" s="432">
        <f>'Detailné výkazy'!I75</f>
        <v>0</v>
      </c>
    </row>
    <row r="13" spans="1:27" x14ac:dyDescent="0.2">
      <c r="C13" s="434" t="s">
        <v>706</v>
      </c>
      <c r="D13" s="52" t="s">
        <v>689</v>
      </c>
      <c r="E13" s="431">
        <f>'Detailné výkazy'!E76</f>
        <v>0</v>
      </c>
      <c r="F13" s="431">
        <f>'Detailné výkazy'!F76</f>
        <v>0</v>
      </c>
      <c r="G13" s="431">
        <f>'Detailné výkazy'!G76</f>
        <v>0</v>
      </c>
      <c r="H13" s="431">
        <f>'Detailné výkazy'!H76</f>
        <v>0</v>
      </c>
      <c r="I13" s="432">
        <f>'Detailné výkazy'!I76</f>
        <v>0</v>
      </c>
    </row>
    <row r="14" spans="1:27" x14ac:dyDescent="0.2">
      <c r="C14" s="434" t="s">
        <v>707</v>
      </c>
      <c r="D14" s="52" t="s">
        <v>690</v>
      </c>
      <c r="E14" s="431">
        <f>'Detailné výkazy'!E77</f>
        <v>0</v>
      </c>
      <c r="F14" s="431">
        <f>'Detailné výkazy'!F77</f>
        <v>0</v>
      </c>
      <c r="G14" s="431">
        <f>'Detailné výkazy'!G77</f>
        <v>0</v>
      </c>
      <c r="H14" s="431">
        <f>'Detailné výkazy'!H77</f>
        <v>0</v>
      </c>
      <c r="I14" s="432">
        <f>'Detailné výkazy'!I77</f>
        <v>0</v>
      </c>
    </row>
    <row r="15" spans="1:27" x14ac:dyDescent="0.2">
      <c r="C15" s="434" t="s">
        <v>709</v>
      </c>
      <c r="D15" s="52" t="s">
        <v>708</v>
      </c>
      <c r="E15" s="431">
        <f>'Detailné výkazy'!E86</f>
        <v>0</v>
      </c>
      <c r="F15" s="431">
        <f>'Detailné výkazy'!F86</f>
        <v>0</v>
      </c>
      <c r="G15" s="431">
        <f>'Detailné výkazy'!G86</f>
        <v>0</v>
      </c>
      <c r="H15" s="431">
        <f>'Detailné výkazy'!H86</f>
        <v>0</v>
      </c>
      <c r="I15" s="432">
        <f>'Detailné výkazy'!I86</f>
        <v>0</v>
      </c>
    </row>
    <row r="16" spans="1:27" x14ac:dyDescent="0.2">
      <c r="C16" s="439" t="s">
        <v>711</v>
      </c>
      <c r="D16" s="440" t="s">
        <v>710</v>
      </c>
      <c r="E16" s="441">
        <f>'Detailné výkazy'!E78+'Detailné výkazy'!E79</f>
        <v>0</v>
      </c>
      <c r="F16" s="441">
        <f>'Detailné výkazy'!F78+'Detailné výkazy'!F79</f>
        <v>0</v>
      </c>
      <c r="G16" s="441">
        <f>'Detailné výkazy'!G78+'Detailné výkazy'!G79</f>
        <v>0</v>
      </c>
      <c r="H16" s="441">
        <f>'Detailné výkazy'!H78+'Detailné výkazy'!H79</f>
        <v>0</v>
      </c>
      <c r="I16" s="442">
        <f>'Detailné výkazy'!I78+'Detailné výkazy'!I79</f>
        <v>0</v>
      </c>
    </row>
    <row r="17" spans="3:9" x14ac:dyDescent="0.2">
      <c r="C17" s="435"/>
      <c r="D17" s="447"/>
      <c r="E17" s="437">
        <f>SUM(E11:E16)</f>
        <v>0</v>
      </c>
      <c r="F17" s="437">
        <f t="shared" ref="F17:I17" si="0">SUM(F11:F16)</f>
        <v>0</v>
      </c>
      <c r="G17" s="437">
        <f t="shared" si="0"/>
        <v>0</v>
      </c>
      <c r="H17" s="437">
        <f t="shared" si="0"/>
        <v>0</v>
      </c>
      <c r="I17" s="438">
        <f t="shared" si="0"/>
        <v>0</v>
      </c>
    </row>
    <row r="18" spans="3:9" x14ac:dyDescent="0.2">
      <c r="C18" s="433" t="s">
        <v>712</v>
      </c>
      <c r="D18" s="189" t="s">
        <v>695</v>
      </c>
      <c r="E18" s="431"/>
      <c r="F18" s="431"/>
      <c r="G18" s="431"/>
      <c r="H18" s="431"/>
      <c r="I18" s="432"/>
    </row>
    <row r="19" spans="3:9" x14ac:dyDescent="0.2">
      <c r="C19" s="434" t="s">
        <v>713</v>
      </c>
      <c r="D19" s="52" t="s">
        <v>116</v>
      </c>
      <c r="E19" s="431">
        <f>'Detailné výkazy'!E89</f>
        <v>0</v>
      </c>
      <c r="F19" s="431">
        <f>'Detailné výkazy'!F89</f>
        <v>0</v>
      </c>
      <c r="G19" s="431">
        <f>'Detailné výkazy'!G89</f>
        <v>0</v>
      </c>
      <c r="H19" s="431">
        <f>'Detailné výkazy'!H89</f>
        <v>0</v>
      </c>
      <c r="I19" s="432">
        <f>'Detailné výkazy'!I89</f>
        <v>0</v>
      </c>
    </row>
    <row r="20" spans="3:9" x14ac:dyDescent="0.2">
      <c r="C20" s="434" t="s">
        <v>8</v>
      </c>
      <c r="D20" s="52" t="s">
        <v>647</v>
      </c>
      <c r="E20" s="431">
        <f>'Detailné výkazy'!E90+'Detailné výkazy'!E91</f>
        <v>0</v>
      </c>
      <c r="F20" s="431">
        <f>'Detailné výkazy'!F90+'Detailné výkazy'!F91</f>
        <v>0</v>
      </c>
      <c r="G20" s="431">
        <f>'Detailné výkazy'!G90+'Detailné výkazy'!G91</f>
        <v>0</v>
      </c>
      <c r="H20" s="431">
        <f>'Detailné výkazy'!H90+'Detailné výkazy'!H91</f>
        <v>0</v>
      </c>
      <c r="I20" s="432">
        <f>'Detailné výkazy'!I90+'Detailné výkazy'!I91</f>
        <v>0</v>
      </c>
    </row>
    <row r="21" spans="3:9" x14ac:dyDescent="0.2">
      <c r="C21" s="434" t="s">
        <v>714</v>
      </c>
      <c r="D21" s="52" t="s">
        <v>138</v>
      </c>
      <c r="E21" s="431">
        <f>-'Detailné výkazy'!E106</f>
        <v>0</v>
      </c>
      <c r="F21" s="431">
        <f>-'Detailné výkazy'!F106</f>
        <v>0</v>
      </c>
      <c r="G21" s="431">
        <f>-'Detailné výkazy'!G106</f>
        <v>0</v>
      </c>
      <c r="H21" s="431">
        <f>-'Detailné výkazy'!H106</f>
        <v>0</v>
      </c>
      <c r="I21" s="432">
        <f>-'Detailné výkazy'!I106</f>
        <v>0</v>
      </c>
    </row>
    <row r="22" spans="3:9" x14ac:dyDescent="0.2">
      <c r="C22" s="436" t="s">
        <v>715</v>
      </c>
      <c r="D22" s="53" t="s">
        <v>696</v>
      </c>
      <c r="E22" s="437">
        <f>SUM(E19:E21)</f>
        <v>0</v>
      </c>
      <c r="F22" s="437">
        <f t="shared" ref="F22:I22" si="1">SUM(F19:F21)</f>
        <v>0</v>
      </c>
      <c r="G22" s="437">
        <f t="shared" si="1"/>
        <v>0</v>
      </c>
      <c r="H22" s="437">
        <f t="shared" si="1"/>
        <v>0</v>
      </c>
      <c r="I22" s="438">
        <f t="shared" si="1"/>
        <v>0</v>
      </c>
    </row>
    <row r="23" spans="3:9" x14ac:dyDescent="0.2">
      <c r="C23" s="434" t="s">
        <v>603</v>
      </c>
      <c r="D23" s="52" t="s">
        <v>649</v>
      </c>
      <c r="E23" s="431">
        <f>'Detailné výkazy'!E92+'Detailné výkazy'!E93</f>
        <v>0</v>
      </c>
      <c r="F23" s="431">
        <f>'Detailné výkazy'!F92+'Detailné výkazy'!F93</f>
        <v>0</v>
      </c>
      <c r="G23" s="431">
        <f>'Detailné výkazy'!G92+'Detailné výkazy'!G93</f>
        <v>0</v>
      </c>
      <c r="H23" s="431">
        <f>'Detailné výkazy'!H92+'Detailné výkazy'!H93</f>
        <v>0</v>
      </c>
      <c r="I23" s="432">
        <f>'Detailné výkazy'!I92+'Detailné výkazy'!I93</f>
        <v>0</v>
      </c>
    </row>
    <row r="24" spans="3:9" x14ac:dyDescent="0.2">
      <c r="C24" s="434" t="s">
        <v>717</v>
      </c>
      <c r="D24" s="52" t="s">
        <v>716</v>
      </c>
      <c r="E24" s="431">
        <f>'Detailné výkazy'!E95+'Detailné výkazy'!E97</f>
        <v>0</v>
      </c>
      <c r="F24" s="431">
        <f>'Detailné výkazy'!F95+'Detailné výkazy'!F97</f>
        <v>0</v>
      </c>
      <c r="G24" s="431">
        <f>'Detailné výkazy'!G95+'Detailné výkazy'!G97</f>
        <v>0</v>
      </c>
      <c r="H24" s="431">
        <f>'Detailné výkazy'!H95+'Detailné výkazy'!H97</f>
        <v>0</v>
      </c>
      <c r="I24" s="432">
        <f>'Detailné výkazy'!I95+'Detailné výkazy'!I97</f>
        <v>0</v>
      </c>
    </row>
    <row r="25" spans="3:9" x14ac:dyDescent="0.2">
      <c r="C25" s="434" t="s">
        <v>718</v>
      </c>
      <c r="D25" s="52" t="s">
        <v>142</v>
      </c>
      <c r="E25" s="431">
        <f>-('Detailné výkazy'!E100+'Detailné výkazy'!E103+'Detailné výkazy'!E107+'Detailné výkazy'!E108+'Detailné výkazy'!E109+'Detailné výkazy'!E110+'Detailné výkazy'!E116)</f>
        <v>0</v>
      </c>
      <c r="F25" s="431">
        <f>-('Detailné výkazy'!F100+'Detailné výkazy'!F103+'Detailné výkazy'!F107+'Detailné výkazy'!F108+'Detailné výkazy'!F109+'Detailné výkazy'!F110+'Detailné výkazy'!F116)</f>
        <v>0</v>
      </c>
      <c r="G25" s="431">
        <f>-('Detailné výkazy'!G100+'Detailné výkazy'!G103+'Detailné výkazy'!G107+'Detailné výkazy'!G108+'Detailné výkazy'!G109+'Detailné výkazy'!G110+'Detailné výkazy'!G116)</f>
        <v>0</v>
      </c>
      <c r="H25" s="431">
        <f>-('Detailné výkazy'!H100+'Detailné výkazy'!H103+'Detailné výkazy'!H107+'Detailné výkazy'!H108+'Detailné výkazy'!H109+'Detailné výkazy'!H110+'Detailné výkazy'!H116)</f>
        <v>0</v>
      </c>
      <c r="I25" s="432">
        <f>-('Detailné výkazy'!I100+'Detailné výkazy'!I103+'Detailné výkazy'!I107+'Detailné výkazy'!I108+'Detailné výkazy'!I109+'Detailné výkazy'!I110+'Detailné výkazy'!I116)</f>
        <v>0</v>
      </c>
    </row>
    <row r="26" spans="3:9" x14ac:dyDescent="0.2">
      <c r="C26" s="436" t="s">
        <v>719</v>
      </c>
      <c r="D26" s="53" t="s">
        <v>700</v>
      </c>
      <c r="E26" s="437">
        <f>SUM(E22:E25)</f>
        <v>0</v>
      </c>
      <c r="F26" s="437">
        <f t="shared" ref="F26:I26" si="2">SUM(F22:F25)</f>
        <v>0</v>
      </c>
      <c r="G26" s="437">
        <f t="shared" si="2"/>
        <v>0</v>
      </c>
      <c r="H26" s="437">
        <f t="shared" si="2"/>
        <v>0</v>
      </c>
      <c r="I26" s="438">
        <f t="shared" si="2"/>
        <v>0</v>
      </c>
    </row>
    <row r="27" spans="3:9" x14ac:dyDescent="0.2">
      <c r="C27" s="436"/>
      <c r="D27" s="53"/>
      <c r="E27" s="431"/>
      <c r="F27" s="431"/>
      <c r="G27" s="431"/>
      <c r="H27" s="431"/>
      <c r="I27" s="432"/>
    </row>
    <row r="28" spans="3:9" x14ac:dyDescent="0.2">
      <c r="C28" s="433" t="s">
        <v>620</v>
      </c>
      <c r="D28" s="189" t="s">
        <v>720</v>
      </c>
      <c r="E28" s="431"/>
      <c r="F28" s="431"/>
      <c r="G28" s="431"/>
      <c r="H28" s="431"/>
      <c r="I28" s="432"/>
    </row>
    <row r="29" spans="3:9" x14ac:dyDescent="0.2">
      <c r="C29" s="434" t="s">
        <v>9</v>
      </c>
      <c r="D29" s="52" t="s">
        <v>619</v>
      </c>
      <c r="E29" s="431">
        <f>'Detailné výkazy'!E94</f>
        <v>0</v>
      </c>
      <c r="F29" s="431">
        <f>'Detailné výkazy'!F94</f>
        <v>0</v>
      </c>
      <c r="G29" s="431">
        <f>'Detailné výkazy'!G94</f>
        <v>0</v>
      </c>
      <c r="H29" s="431">
        <f>'Detailné výkazy'!H94</f>
        <v>0</v>
      </c>
      <c r="I29" s="432">
        <f>'Detailné výkazy'!I94</f>
        <v>0</v>
      </c>
    </row>
    <row r="30" spans="3:9" x14ac:dyDescent="0.2">
      <c r="C30" s="434" t="s">
        <v>722</v>
      </c>
      <c r="D30" s="52" t="s">
        <v>721</v>
      </c>
      <c r="E30" s="431">
        <f>-'Detailné výkazy'!E114</f>
        <v>0</v>
      </c>
      <c r="F30" s="431">
        <f>-'Detailné výkazy'!F114</f>
        <v>0</v>
      </c>
      <c r="G30" s="431">
        <f>-'Detailné výkazy'!G114</f>
        <v>0</v>
      </c>
      <c r="H30" s="431">
        <f>-'Detailné výkazy'!H114</f>
        <v>0</v>
      </c>
      <c r="I30" s="432">
        <f>-'Detailné výkazy'!I114</f>
        <v>0</v>
      </c>
    </row>
    <row r="31" spans="3:9" x14ac:dyDescent="0.2">
      <c r="C31" s="434" t="s">
        <v>724</v>
      </c>
      <c r="D31" s="52" t="s">
        <v>723</v>
      </c>
      <c r="E31" s="431">
        <f>-'Detailné výkazy'!E113</f>
        <v>0</v>
      </c>
      <c r="F31" s="431">
        <f>-'Detailné výkazy'!F113</f>
        <v>0</v>
      </c>
      <c r="G31" s="431">
        <f>-'Detailné výkazy'!G113</f>
        <v>0</v>
      </c>
      <c r="H31" s="431">
        <f>-'Detailné výkazy'!H113</f>
        <v>0</v>
      </c>
      <c r="I31" s="432">
        <f>-'Detailné výkazy'!I113</f>
        <v>0</v>
      </c>
    </row>
    <row r="32" spans="3:9" x14ac:dyDescent="0.2">
      <c r="C32" s="434" t="s">
        <v>725</v>
      </c>
      <c r="D32" s="52" t="s">
        <v>435</v>
      </c>
      <c r="E32" s="431">
        <f>-('Detailné výkazy'!E101+'Detailné výkazy'!E102)</f>
        <v>0</v>
      </c>
      <c r="F32" s="431">
        <f>-('Detailné výkazy'!F101+'Detailné výkazy'!F102)</f>
        <v>0</v>
      </c>
      <c r="G32" s="431">
        <f>-('Detailné výkazy'!G101+'Detailné výkazy'!G102)</f>
        <v>0</v>
      </c>
      <c r="H32" s="431">
        <f>-('Detailné výkazy'!H101+'Detailné výkazy'!H102)</f>
        <v>0</v>
      </c>
      <c r="I32" s="432">
        <f>-('Detailné výkazy'!I101+'Detailné výkazy'!I102)</f>
        <v>0</v>
      </c>
    </row>
    <row r="33" spans="3:9" x14ac:dyDescent="0.2">
      <c r="C33" s="434"/>
      <c r="D33" s="52"/>
      <c r="E33" s="437">
        <f>SUM(E29:E32)</f>
        <v>0</v>
      </c>
      <c r="F33" s="437">
        <f t="shared" ref="F33:I33" si="3">SUM(F29:F32)</f>
        <v>0</v>
      </c>
      <c r="G33" s="437">
        <f t="shared" si="3"/>
        <v>0</v>
      </c>
      <c r="H33" s="437">
        <f t="shared" si="3"/>
        <v>0</v>
      </c>
      <c r="I33" s="438">
        <f t="shared" si="3"/>
        <v>0</v>
      </c>
    </row>
    <row r="34" spans="3:9" x14ac:dyDescent="0.2">
      <c r="C34" s="433" t="s">
        <v>727</v>
      </c>
      <c r="D34" s="189" t="s">
        <v>726</v>
      </c>
      <c r="E34" s="431"/>
      <c r="F34" s="431"/>
      <c r="G34" s="431"/>
      <c r="H34" s="431"/>
      <c r="I34" s="432"/>
    </row>
    <row r="35" spans="3:9" x14ac:dyDescent="0.2">
      <c r="C35" s="434" t="s">
        <v>729</v>
      </c>
      <c r="D35" s="52" t="s">
        <v>728</v>
      </c>
      <c r="E35" s="431">
        <f>'Detailné výkazy'!E87</f>
        <v>0</v>
      </c>
      <c r="F35" s="431">
        <f>'Detailné výkazy'!F87</f>
        <v>0</v>
      </c>
      <c r="G35" s="431">
        <f>'Detailné výkazy'!G87</f>
        <v>0</v>
      </c>
      <c r="H35" s="431">
        <f>'Detailné výkazy'!H87</f>
        <v>0</v>
      </c>
      <c r="I35" s="432">
        <f>'Detailné výkazy'!I87</f>
        <v>0</v>
      </c>
    </row>
    <row r="36" spans="3:9" x14ac:dyDescent="0.2">
      <c r="C36" s="434" t="s">
        <v>731</v>
      </c>
      <c r="D36" s="52" t="s">
        <v>730</v>
      </c>
      <c r="E36" s="431">
        <f>-'Detailné výkazy'!E118</f>
        <v>0</v>
      </c>
      <c r="F36" s="431">
        <f>-'Detailné výkazy'!F118</f>
        <v>0</v>
      </c>
      <c r="G36" s="431">
        <f>-'Detailné výkazy'!G118</f>
        <v>0</v>
      </c>
      <c r="H36" s="431">
        <f>-'Detailné výkazy'!H118</f>
        <v>0</v>
      </c>
      <c r="I36" s="432">
        <f>-'Detailné výkazy'!I118</f>
        <v>0</v>
      </c>
    </row>
    <row r="37" spans="3:9" x14ac:dyDescent="0.2">
      <c r="C37" s="448" t="s">
        <v>733</v>
      </c>
      <c r="D37" s="449" t="s">
        <v>732</v>
      </c>
      <c r="E37" s="450">
        <f>E17+E26+E33+SUM(E35:E36)</f>
        <v>0</v>
      </c>
      <c r="F37" s="450">
        <f t="shared" ref="F37:I37" si="4">F17+F26+F33+SUM(F35:F36)</f>
        <v>0</v>
      </c>
      <c r="G37" s="450">
        <f t="shared" si="4"/>
        <v>0</v>
      </c>
      <c r="H37" s="450">
        <f t="shared" si="4"/>
        <v>0</v>
      </c>
      <c r="I37" s="451">
        <f t="shared" si="4"/>
        <v>0</v>
      </c>
    </row>
    <row r="38" spans="3:9" ht="12" thickBot="1" x14ac:dyDescent="0.25">
      <c r="C38" s="443" t="s">
        <v>10</v>
      </c>
      <c r="D38" s="444" t="s">
        <v>128</v>
      </c>
      <c r="E38" s="445">
        <f>SUM(E39:E42)</f>
        <v>0</v>
      </c>
      <c r="F38" s="445">
        <f t="shared" ref="F38:I38" si="5">SUM(F39:F42)</f>
        <v>0</v>
      </c>
      <c r="G38" s="445">
        <f t="shared" si="5"/>
        <v>0</v>
      </c>
      <c r="H38" s="445">
        <f t="shared" si="5"/>
        <v>0</v>
      </c>
      <c r="I38" s="446">
        <f t="shared" si="5"/>
        <v>0</v>
      </c>
    </row>
    <row r="39" spans="3:9" x14ac:dyDescent="0.2">
      <c r="C39" s="434" t="s">
        <v>11</v>
      </c>
      <c r="D39" s="52" t="s">
        <v>130</v>
      </c>
      <c r="E39" s="431">
        <f>'Detailné výkazy'!E121</f>
        <v>0</v>
      </c>
      <c r="F39" s="431">
        <f>'Detailné výkazy'!F121</f>
        <v>0</v>
      </c>
      <c r="G39" s="431">
        <f>'Detailné výkazy'!G121</f>
        <v>0</v>
      </c>
      <c r="H39" s="431">
        <f>'Detailné výkazy'!H121</f>
        <v>0</v>
      </c>
      <c r="I39" s="432">
        <f>'Detailné výkazy'!I121</f>
        <v>0</v>
      </c>
    </row>
    <row r="40" spans="3:9" x14ac:dyDescent="0.2">
      <c r="C40" s="434" t="s">
        <v>12</v>
      </c>
      <c r="D40" s="52" t="s">
        <v>739</v>
      </c>
      <c r="E40" s="431">
        <f>'Detailné výkazy'!E122+'Detailné výkazy'!E117</f>
        <v>0</v>
      </c>
      <c r="F40" s="431">
        <f>'Detailné výkazy'!F122+'Detailné výkazy'!F117</f>
        <v>0</v>
      </c>
      <c r="G40" s="431">
        <f>'Detailné výkazy'!G122+'Detailné výkazy'!G117</f>
        <v>0</v>
      </c>
      <c r="H40" s="431">
        <f>'Detailné výkazy'!H122+'Detailné výkazy'!H117</f>
        <v>0</v>
      </c>
      <c r="I40" s="432">
        <f>'Detailné výkazy'!I122+'Detailné výkazy'!I117</f>
        <v>0</v>
      </c>
    </row>
    <row r="41" spans="3:9" x14ac:dyDescent="0.2">
      <c r="C41" s="434" t="s">
        <v>13</v>
      </c>
      <c r="D41" s="52" t="s">
        <v>734</v>
      </c>
      <c r="E41" s="431">
        <f>'Detailné výkazy'!E123</f>
        <v>0</v>
      </c>
      <c r="F41" s="431">
        <f>'Detailné výkazy'!F123</f>
        <v>0</v>
      </c>
      <c r="G41" s="431">
        <f>'Detailné výkazy'!G123</f>
        <v>0</v>
      </c>
      <c r="H41" s="431">
        <f>'Detailné výkazy'!H123</f>
        <v>0</v>
      </c>
      <c r="I41" s="432">
        <f>'Detailné výkazy'!I123</f>
        <v>0</v>
      </c>
    </row>
    <row r="42" spans="3:9" x14ac:dyDescent="0.2">
      <c r="C42" s="439" t="s">
        <v>736</v>
      </c>
      <c r="D42" s="440" t="s">
        <v>735</v>
      </c>
      <c r="E42" s="441">
        <f>'Detailné výkazy'!E124</f>
        <v>0</v>
      </c>
      <c r="F42" s="441">
        <f>'Detailné výkazy'!F124</f>
        <v>0</v>
      </c>
      <c r="G42" s="441">
        <f>'Detailné výkazy'!G124</f>
        <v>0</v>
      </c>
      <c r="H42" s="441">
        <f>'Detailné výkazy'!H124</f>
        <v>0</v>
      </c>
      <c r="I42" s="442">
        <f>'Detailné výkazy'!I124</f>
        <v>0</v>
      </c>
    </row>
    <row r="43" spans="3:9" x14ac:dyDescent="0.2"/>
    <row r="44" spans="3:9" x14ac:dyDescent="0.2">
      <c r="C44" s="2" t="s">
        <v>590</v>
      </c>
      <c r="D44" s="2" t="s">
        <v>590</v>
      </c>
      <c r="E44" s="187">
        <f>E37-E38</f>
        <v>0</v>
      </c>
      <c r="F44" s="187">
        <f>F37-F38</f>
        <v>0</v>
      </c>
      <c r="G44" s="187">
        <f>G37-G38</f>
        <v>0</v>
      </c>
      <c r="H44" s="187">
        <f>H37-H38</f>
        <v>0</v>
      </c>
      <c r="I44" s="187">
        <f>I37-I38</f>
        <v>0</v>
      </c>
    </row>
    <row r="45" spans="3:9" x14ac:dyDescent="0.2"/>
    <row r="46" spans="3:9" x14ac:dyDescent="0.2"/>
  </sheetData>
  <conditionalFormatting sqref="C44:I44">
    <cfRule type="expression" dxfId="4" priority="1">
      <formula>SUM($E$44:$I$44)=0</formula>
    </cfRule>
  </conditionalFormatting>
  <pageMargins left="0.7" right="0.7" top="0.75" bottom="0.75" header="0.3" footer="0.3"/>
  <pageSetup scale="95" orientation="portrait" horizontalDpi="4294967295" verticalDpi="4294967295" r:id="rId1"/>
  <headerFooter>
    <oddFooter>&amp;C&amp;7&amp;B&amp;"Arial"Document Classification: KPMG Confidential</oddFooter>
  </headerFooter>
  <colBreaks count="1" manualBreakCount="1">
    <brk id="9"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50"/>
    <outlinePr summaryBelow="0"/>
  </sheetPr>
  <dimension ref="A1:Y148"/>
  <sheetViews>
    <sheetView showGridLines="0" zoomScaleNormal="100" workbookViewId="0">
      <selection activeCell="J9" sqref="J9"/>
    </sheetView>
  </sheetViews>
  <sheetFormatPr defaultColWidth="0" defaultRowHeight="12" customHeight="1" zeroHeight="1" x14ac:dyDescent="0.2"/>
  <cols>
    <col min="1" max="1" width="2.85546875" style="460" customWidth="1"/>
    <col min="2" max="2" width="7.7109375" style="334" hidden="1" customWidth="1"/>
    <col min="3" max="3" width="42.85546875" style="6" hidden="1" customWidth="1"/>
    <col min="4" max="4" width="42.85546875" style="2" customWidth="1"/>
    <col min="5" max="9" width="10.7109375" style="5" customWidth="1"/>
    <col min="10" max="10" width="3.7109375" style="6" customWidth="1"/>
    <col min="11" max="15" width="9.7109375" style="5" customWidth="1"/>
    <col min="16" max="24" width="9.140625" style="5" customWidth="1"/>
    <col min="25" max="25" width="0" style="5" hidden="1" customWidth="1"/>
    <col min="26" max="16384" width="9.140625" style="5" hidden="1"/>
  </cols>
  <sheetData>
    <row r="1" spans="1:25" ht="11.25" customHeight="1" x14ac:dyDescent="0.2">
      <c r="A1" s="193"/>
      <c r="B1" s="193"/>
      <c r="C1" s="193"/>
      <c r="D1" s="190"/>
      <c r="E1" s="190"/>
      <c r="F1" s="190"/>
      <c r="G1" s="190"/>
      <c r="H1" s="190"/>
      <c r="I1" s="190"/>
      <c r="J1" s="339"/>
      <c r="K1" s="190"/>
      <c r="L1" s="190"/>
      <c r="M1" s="190"/>
      <c r="N1" s="190"/>
      <c r="O1" s="190"/>
      <c r="P1" s="190"/>
      <c r="Q1" s="190"/>
      <c r="R1" s="190"/>
      <c r="S1" s="190"/>
      <c r="T1" s="190"/>
      <c r="U1" s="190"/>
      <c r="V1" s="190"/>
      <c r="W1" s="190"/>
      <c r="X1" s="190"/>
      <c r="Y1" s="190"/>
    </row>
    <row r="2" spans="1:25" ht="21" customHeight="1" x14ac:dyDescent="0.2">
      <c r="A2" s="374"/>
      <c r="B2" s="193"/>
      <c r="C2" s="374" t="str">
        <f>CONCATENATE("Analysis of financial results: ",Aktíva!D1)</f>
        <v>Analysis of financial results: XXY s.r.o.</v>
      </c>
      <c r="D2" s="694" t="str">
        <f>CONCATENATE("Analýza finančných výsledkov: ",Aktíva!D1)</f>
        <v>Analýza finančných výsledkov: XXY s.r.o.</v>
      </c>
      <c r="E2" s="190"/>
      <c r="F2" s="190"/>
      <c r="G2" s="190"/>
      <c r="H2" s="190"/>
      <c r="I2" s="190"/>
      <c r="J2" s="339"/>
      <c r="K2" s="190"/>
      <c r="L2" s="190"/>
      <c r="M2" s="190"/>
      <c r="N2" s="190"/>
      <c r="O2" s="190"/>
      <c r="P2" s="190"/>
      <c r="Q2" s="190"/>
      <c r="R2" s="190"/>
      <c r="S2" s="190"/>
      <c r="T2" s="190"/>
      <c r="U2" s="190"/>
      <c r="V2" s="190"/>
      <c r="W2" s="190"/>
      <c r="X2" s="190"/>
      <c r="Y2" s="190"/>
    </row>
    <row r="3" spans="1:25" s="460" customFormat="1" ht="11.25" customHeight="1" x14ac:dyDescent="0.2">
      <c r="B3" s="336"/>
      <c r="C3" s="459"/>
      <c r="D3" s="273"/>
      <c r="J3" s="459"/>
    </row>
    <row r="4" spans="1:25" ht="11.25" customHeight="1" x14ac:dyDescent="0.2"/>
    <row r="5" spans="1:25" ht="11.25" customHeight="1" x14ac:dyDescent="0.2">
      <c r="G5" s="8"/>
      <c r="H5" s="8"/>
      <c r="I5" s="8"/>
      <c r="J5" s="9"/>
      <c r="K5" s="6"/>
    </row>
    <row r="6" spans="1:25" ht="19.5" customHeight="1" x14ac:dyDescent="0.2">
      <c r="B6" s="297" t="s">
        <v>42</v>
      </c>
      <c r="C6" s="328" t="s">
        <v>43</v>
      </c>
      <c r="D6" s="328" t="s">
        <v>44</v>
      </c>
      <c r="E6" s="298"/>
      <c r="F6" s="298"/>
      <c r="G6" s="298"/>
      <c r="H6" s="298"/>
      <c r="I6" s="299"/>
      <c r="J6" s="4"/>
      <c r="K6" s="327" t="s">
        <v>922</v>
      </c>
      <c r="L6" s="295"/>
      <c r="M6" s="295"/>
      <c r="N6" s="295"/>
      <c r="O6" s="296"/>
    </row>
    <row r="7" spans="1:25" ht="11.25" customHeight="1" x14ac:dyDescent="0.2">
      <c r="B7" s="335"/>
      <c r="C7" s="344" t="str">
        <f>CONCATENATE('Skrátené výkazy'!F4," ",IF(Units=1000,"'000",IF(Units=1000000,"mil."," ")))</f>
        <v xml:space="preserve">€  </v>
      </c>
      <c r="D7" s="344" t="str">
        <f>CONCATENATE('Skrátené výkazy'!F4," ",IF(Units=1000,"'000",IF(Units=1000000,"mil."," ")))</f>
        <v xml:space="preserve">€  </v>
      </c>
      <c r="E7" s="346" t="str">
        <f>Aktíva!J3</f>
        <v>FY19</v>
      </c>
      <c r="F7" s="346" t="str">
        <f>Aktíva!I3</f>
        <v>FY20</v>
      </c>
      <c r="G7" s="346" t="str">
        <f>Aktíva!H3</f>
        <v>FY21</v>
      </c>
      <c r="H7" s="346" t="str">
        <f>Aktíva!G3</f>
        <v>FY22</v>
      </c>
      <c r="I7" s="347" t="str">
        <f>Aktíva!F2</f>
        <v>FY23</v>
      </c>
      <c r="J7" s="4"/>
      <c r="K7" s="309" t="str">
        <f>E7</f>
        <v>FY19</v>
      </c>
      <c r="L7" s="310" t="str">
        <f>F7</f>
        <v>FY20</v>
      </c>
      <c r="M7" s="310" t="str">
        <f>G7</f>
        <v>FY21</v>
      </c>
      <c r="N7" s="310" t="str">
        <f>H7</f>
        <v>FY22</v>
      </c>
      <c r="O7" s="311" t="str">
        <f>I7</f>
        <v>FY23</v>
      </c>
    </row>
    <row r="8" spans="1:25" ht="11.25" customHeight="1" x14ac:dyDescent="0.2">
      <c r="B8" s="336"/>
      <c r="C8" s="301" t="s">
        <v>19</v>
      </c>
      <c r="D8" s="315" t="s">
        <v>45</v>
      </c>
      <c r="E8" s="231"/>
      <c r="F8" s="231"/>
      <c r="G8" s="231"/>
      <c r="H8" s="231"/>
      <c r="I8" s="366"/>
      <c r="K8" s="343"/>
      <c r="O8" s="342"/>
    </row>
    <row r="9" spans="1:25" ht="11.25" customHeight="1" x14ac:dyDescent="0.2">
      <c r="B9" s="334">
        <v>1</v>
      </c>
      <c r="C9" s="300" t="s">
        <v>20</v>
      </c>
      <c r="D9" s="276" t="s">
        <v>46</v>
      </c>
      <c r="E9" s="231">
        <f>SUMIF('Výkaz ziskov a strát'!B:B,B9,'Výkaz ziskov a strát'!O:O)/Units</f>
        <v>0</v>
      </c>
      <c r="F9" s="231">
        <f>SUMIF('Výkaz ziskov a strát'!B:B,B9,'Výkaz ziskov a strát'!N:N)/Units</f>
        <v>0</v>
      </c>
      <c r="G9" s="231">
        <f>SUMIF('Výkaz ziskov a strát'!B:B,B9,'Výkaz ziskov a strát'!M:M)/Units</f>
        <v>0</v>
      </c>
      <c r="H9" s="231">
        <f>SUMIF('Výkaz ziskov a strát'!B:B,B9,'Výkaz ziskov a strát'!L:L)/Units</f>
        <v>0</v>
      </c>
      <c r="I9" s="366">
        <f>SUMIF('Výkaz ziskov a strát'!B:B,B9,'Výkaz ziskov a strát'!K:K)/Units</f>
        <v>0</v>
      </c>
      <c r="J9" s="10"/>
      <c r="K9" s="305" t="str">
        <f t="shared" ref="K9:O11" si="0">IFERROR(E9/E$11," - %")</f>
        <v xml:space="preserve"> - %</v>
      </c>
      <c r="L9" s="11" t="str">
        <f t="shared" si="0"/>
        <v xml:space="preserve"> - %</v>
      </c>
      <c r="M9" s="11" t="str">
        <f t="shared" si="0"/>
        <v xml:space="preserve"> - %</v>
      </c>
      <c r="N9" s="11" t="str">
        <f t="shared" si="0"/>
        <v xml:space="preserve"> - %</v>
      </c>
      <c r="O9" s="306" t="str">
        <f t="shared" si="0"/>
        <v xml:space="preserve"> - %</v>
      </c>
    </row>
    <row r="10" spans="1:25" ht="11.25" customHeight="1" x14ac:dyDescent="0.2">
      <c r="B10" s="334">
        <v>2</v>
      </c>
      <c r="C10" s="398" t="s">
        <v>21</v>
      </c>
      <c r="D10" s="399" t="s">
        <v>47</v>
      </c>
      <c r="E10" s="380">
        <f>SUMIF('Výkaz ziskov a strát'!B:B,B10,'Výkaz ziskov a strát'!O:O)/Units</f>
        <v>0</v>
      </c>
      <c r="F10" s="380">
        <f>SUMIF('Výkaz ziskov a strát'!B:B,B10,'Výkaz ziskov a strát'!N:N)/Units</f>
        <v>0</v>
      </c>
      <c r="G10" s="380">
        <f>SUMIF('Výkaz ziskov a strát'!B:B,B10,'Výkaz ziskov a strát'!M:M)/Units</f>
        <v>0</v>
      </c>
      <c r="H10" s="380">
        <f>SUMIF('Výkaz ziskov a strát'!B:B,B10,'Výkaz ziskov a strát'!L:L)/Units</f>
        <v>0</v>
      </c>
      <c r="I10" s="400">
        <f>SUMIF('Výkaz ziskov a strát'!B:B,B10,'Výkaz ziskov a strát'!K:K)/Units</f>
        <v>0</v>
      </c>
      <c r="J10" s="10"/>
      <c r="K10" s="312" t="str">
        <f t="shared" si="0"/>
        <v xml:space="preserve"> - %</v>
      </c>
      <c r="L10" s="313" t="str">
        <f t="shared" si="0"/>
        <v xml:space="preserve"> - %</v>
      </c>
      <c r="M10" s="313" t="str">
        <f t="shared" si="0"/>
        <v xml:space="preserve"> - %</v>
      </c>
      <c r="N10" s="313" t="str">
        <f t="shared" si="0"/>
        <v xml:space="preserve"> - %</v>
      </c>
      <c r="O10" s="314" t="str">
        <f t="shared" si="0"/>
        <v xml:space="preserve"> - %</v>
      </c>
    </row>
    <row r="11" spans="1:25" ht="11.25" customHeight="1" x14ac:dyDescent="0.2">
      <c r="C11" s="300"/>
      <c r="D11" s="276"/>
      <c r="E11" s="368">
        <f>E9+E10</f>
        <v>0</v>
      </c>
      <c r="F11" s="368">
        <f>F9+F10</f>
        <v>0</v>
      </c>
      <c r="G11" s="368">
        <f>G9+G10</f>
        <v>0</v>
      </c>
      <c r="H11" s="368">
        <f>H9+H10</f>
        <v>0</v>
      </c>
      <c r="I11" s="369">
        <f>I9+I10</f>
        <v>0</v>
      </c>
      <c r="K11" s="307" t="str">
        <f t="shared" si="0"/>
        <v xml:space="preserve"> - %</v>
      </c>
      <c r="L11" s="13" t="str">
        <f t="shared" si="0"/>
        <v xml:space="preserve"> - %</v>
      </c>
      <c r="M11" s="13" t="str">
        <f t="shared" si="0"/>
        <v xml:space="preserve"> - %</v>
      </c>
      <c r="N11" s="13" t="str">
        <f t="shared" si="0"/>
        <v xml:space="preserve"> - %</v>
      </c>
      <c r="O11" s="308" t="str">
        <f t="shared" si="0"/>
        <v xml:space="preserve"> - %</v>
      </c>
    </row>
    <row r="12" spans="1:25" ht="11.25" customHeight="1" x14ac:dyDescent="0.2">
      <c r="B12" s="336"/>
      <c r="C12" s="301" t="s">
        <v>22</v>
      </c>
      <c r="D12" s="315" t="s">
        <v>48</v>
      </c>
      <c r="E12" s="231"/>
      <c r="F12" s="231"/>
      <c r="G12" s="231"/>
      <c r="H12" s="231"/>
      <c r="I12" s="366"/>
      <c r="J12" s="5"/>
      <c r="K12" s="343"/>
      <c r="O12" s="342"/>
    </row>
    <row r="13" spans="1:25" ht="11.25" customHeight="1" x14ac:dyDescent="0.2">
      <c r="B13" s="334">
        <v>4</v>
      </c>
      <c r="C13" s="300" t="s">
        <v>23</v>
      </c>
      <c r="D13" s="316" t="s">
        <v>49</v>
      </c>
      <c r="E13" s="231">
        <f>SUMIF('Výkaz ziskov a strát'!B:B,B13,'Výkaz ziskov a strát'!O:O)/Units</f>
        <v>0</v>
      </c>
      <c r="F13" s="231">
        <f>SUMIF('Výkaz ziskov a strát'!B:B,B13,'Výkaz ziskov a strát'!N:N)/Units</f>
        <v>0</v>
      </c>
      <c r="G13" s="231">
        <f>SUMIF('Výkaz ziskov a strát'!B:B,B13,'Výkaz ziskov a strát'!M:M)/Units</f>
        <v>0</v>
      </c>
      <c r="H13" s="231">
        <f>SUMIF('Výkaz ziskov a strát'!B:B,B13,'Výkaz ziskov a strát'!L:L)/Units</f>
        <v>0</v>
      </c>
      <c r="I13" s="366">
        <f>SUMIF('Výkaz ziskov a strát'!B:B,B13,'Výkaz ziskov a strát'!K:K)/Units</f>
        <v>0</v>
      </c>
      <c r="K13" s="305" t="str">
        <f t="shared" ref="K13:O15" si="1">IFERROR(E13/E$11," - %")</f>
        <v xml:space="preserve"> - %</v>
      </c>
      <c r="L13" s="11" t="str">
        <f t="shared" si="1"/>
        <v xml:space="preserve"> - %</v>
      </c>
      <c r="M13" s="11" t="str">
        <f t="shared" si="1"/>
        <v xml:space="preserve"> - %</v>
      </c>
      <c r="N13" s="11" t="str">
        <f t="shared" si="1"/>
        <v xml:space="preserve"> - %</v>
      </c>
      <c r="O13" s="306" t="str">
        <f t="shared" si="1"/>
        <v xml:space="preserve"> - %</v>
      </c>
    </row>
    <row r="14" spans="1:25" ht="11.25" customHeight="1" x14ac:dyDescent="0.2">
      <c r="B14" s="334">
        <v>5</v>
      </c>
      <c r="C14" s="398" t="s">
        <v>50</v>
      </c>
      <c r="D14" s="401" t="s">
        <v>51</v>
      </c>
      <c r="E14" s="380">
        <f>SUMIF('Výkaz ziskov a strát'!B:B,B14,'Výkaz ziskov a strát'!O:O)/Units</f>
        <v>0</v>
      </c>
      <c r="F14" s="380">
        <f>SUMIF('Výkaz ziskov a strát'!B:B,B14,'Výkaz ziskov a strát'!N:N)/Units</f>
        <v>0</v>
      </c>
      <c r="G14" s="380">
        <f>SUMIF('Výkaz ziskov a strát'!B:B,B14,'Výkaz ziskov a strát'!M:M)/Units</f>
        <v>0</v>
      </c>
      <c r="H14" s="380">
        <f>SUMIF('Výkaz ziskov a strát'!B:B,B14,'Výkaz ziskov a strát'!L:L)/Units</f>
        <v>0</v>
      </c>
      <c r="I14" s="400">
        <f>SUMIF('Výkaz ziskov a strát'!B:B,B14,'Výkaz ziskov a strát'!K:K)/Units</f>
        <v>0</v>
      </c>
      <c r="K14" s="312" t="str">
        <f t="shared" si="1"/>
        <v xml:space="preserve"> - %</v>
      </c>
      <c r="L14" s="313" t="str">
        <f t="shared" si="1"/>
        <v xml:space="preserve"> - %</v>
      </c>
      <c r="M14" s="313" t="str">
        <f t="shared" si="1"/>
        <v xml:space="preserve"> - %</v>
      </c>
      <c r="N14" s="313" t="str">
        <f t="shared" si="1"/>
        <v xml:space="preserve"> - %</v>
      </c>
      <c r="O14" s="314" t="str">
        <f t="shared" si="1"/>
        <v xml:space="preserve"> - %</v>
      </c>
    </row>
    <row r="15" spans="1:25" ht="11.25" customHeight="1" x14ac:dyDescent="0.2">
      <c r="C15" s="329"/>
      <c r="D15" s="330"/>
      <c r="E15" s="368">
        <f>SUM(E13:E14)</f>
        <v>0</v>
      </c>
      <c r="F15" s="368">
        <f t="shared" ref="F15:I15" si="2">SUM(F13:F14)</f>
        <v>0</v>
      </c>
      <c r="G15" s="368">
        <f t="shared" si="2"/>
        <v>0</v>
      </c>
      <c r="H15" s="368">
        <f t="shared" si="2"/>
        <v>0</v>
      </c>
      <c r="I15" s="369">
        <f t="shared" si="2"/>
        <v>0</v>
      </c>
      <c r="J15" s="54"/>
      <c r="K15" s="324" t="str">
        <f t="shared" si="1"/>
        <v xml:space="preserve"> - %</v>
      </c>
      <c r="L15" s="325" t="str">
        <f t="shared" si="1"/>
        <v xml:space="preserve"> - %</v>
      </c>
      <c r="M15" s="325" t="str">
        <f t="shared" si="1"/>
        <v xml:space="preserve"> - %</v>
      </c>
      <c r="N15" s="325" t="str">
        <f t="shared" si="1"/>
        <v xml:space="preserve"> - %</v>
      </c>
      <c r="O15" s="326" t="str">
        <f t="shared" si="1"/>
        <v xml:space="preserve"> - %</v>
      </c>
    </row>
    <row r="16" spans="1:25" ht="11.25" customHeight="1" x14ac:dyDescent="0.2">
      <c r="B16" s="336"/>
      <c r="C16" s="301" t="s">
        <v>26</v>
      </c>
      <c r="D16" s="315" t="s">
        <v>54</v>
      </c>
      <c r="E16" s="231"/>
      <c r="F16" s="231"/>
      <c r="G16" s="231"/>
      <c r="H16" s="231"/>
      <c r="I16" s="366"/>
      <c r="J16" s="5"/>
      <c r="K16" s="343"/>
      <c r="O16" s="342"/>
    </row>
    <row r="17" spans="1:15" ht="11.25" customHeight="1" x14ac:dyDescent="0.2">
      <c r="B17" s="334">
        <v>7</v>
      </c>
      <c r="C17" s="300" t="s">
        <v>55</v>
      </c>
      <c r="D17" s="276" t="s">
        <v>56</v>
      </c>
      <c r="E17" s="231">
        <f>SUMIF('Výkaz ziskov a strát'!B:B,B17,'Výkaz ziskov a strát'!O:O)/Units</f>
        <v>0</v>
      </c>
      <c r="F17" s="231">
        <f>SUMIF('Výkaz ziskov a strát'!B:B,B17,'Výkaz ziskov a strát'!N:N)/Units</f>
        <v>0</v>
      </c>
      <c r="G17" s="231">
        <f>SUMIF('Výkaz ziskov a strát'!B:B,B17,'Výkaz ziskov a strát'!M:M)/Units</f>
        <v>0</v>
      </c>
      <c r="H17" s="231">
        <f>SUMIF('Výkaz ziskov a strát'!B:B,B17,'Výkaz ziskov a strát'!L:L)/Units</f>
        <v>0</v>
      </c>
      <c r="I17" s="366">
        <f>SUMIF('Výkaz ziskov a strát'!B:B,B17,'Výkaz ziskov a strát'!K:K)/Units</f>
        <v>0</v>
      </c>
      <c r="K17" s="305" t="str">
        <f t="shared" ref="K17:O19" si="3">IFERROR(E17/E$11," - %")</f>
        <v xml:space="preserve"> - %</v>
      </c>
      <c r="L17" s="11" t="str">
        <f t="shared" si="3"/>
        <v xml:space="preserve"> - %</v>
      </c>
      <c r="M17" s="11" t="str">
        <f t="shared" si="3"/>
        <v xml:space="preserve"> - %</v>
      </c>
      <c r="N17" s="11" t="str">
        <f t="shared" si="3"/>
        <v xml:space="preserve"> - %</v>
      </c>
      <c r="O17" s="306" t="str">
        <f t="shared" si="3"/>
        <v xml:space="preserve"> - %</v>
      </c>
    </row>
    <row r="18" spans="1:15" ht="11.25" customHeight="1" x14ac:dyDescent="0.2">
      <c r="B18" s="334">
        <v>8</v>
      </c>
      <c r="C18" s="398" t="s">
        <v>57</v>
      </c>
      <c r="D18" s="399" t="s">
        <v>58</v>
      </c>
      <c r="E18" s="380">
        <f>SUMIF('Výkaz ziskov a strát'!B:B,B18,'Výkaz ziskov a strát'!O:O)/Units</f>
        <v>0</v>
      </c>
      <c r="F18" s="380">
        <f>SUMIF('Výkaz ziskov a strát'!B:B,B18,'Výkaz ziskov a strát'!N:N)/Units</f>
        <v>0</v>
      </c>
      <c r="G18" s="380">
        <f>SUMIF('Výkaz ziskov a strát'!B:B,B18,'Výkaz ziskov a strát'!M:M)/Units</f>
        <v>0</v>
      </c>
      <c r="H18" s="380">
        <f>SUMIF('Výkaz ziskov a strát'!B:B,B18,'Výkaz ziskov a strát'!L:L)/Units</f>
        <v>0</v>
      </c>
      <c r="I18" s="400">
        <f>SUMIF('Výkaz ziskov a strát'!B:B,B18,'Výkaz ziskov a strát'!K:K)/Units</f>
        <v>0</v>
      </c>
      <c r="K18" s="312" t="str">
        <f t="shared" si="3"/>
        <v xml:space="preserve"> - %</v>
      </c>
      <c r="L18" s="313" t="str">
        <f t="shared" si="3"/>
        <v xml:space="preserve"> - %</v>
      </c>
      <c r="M18" s="313" t="str">
        <f t="shared" si="3"/>
        <v xml:space="preserve"> - %</v>
      </c>
      <c r="N18" s="313" t="str">
        <f t="shared" si="3"/>
        <v xml:space="preserve"> - %</v>
      </c>
      <c r="O18" s="314" t="str">
        <f t="shared" si="3"/>
        <v xml:space="preserve"> - %</v>
      </c>
    </row>
    <row r="19" spans="1:15" ht="11.25" customHeight="1" x14ac:dyDescent="0.2">
      <c r="C19" s="329"/>
      <c r="D19" s="338"/>
      <c r="E19" s="368">
        <f>SUM(E17:E18)</f>
        <v>0</v>
      </c>
      <c r="F19" s="368">
        <f>SUM(F17:F18)</f>
        <v>0</v>
      </c>
      <c r="G19" s="368">
        <f>SUM(G17:G18)</f>
        <v>0</v>
      </c>
      <c r="H19" s="368">
        <f>SUM(H17:H18)</f>
        <v>0</v>
      </c>
      <c r="I19" s="369">
        <f>SUM(I17:I18)</f>
        <v>0</v>
      </c>
      <c r="J19" s="43"/>
      <c r="K19" s="324" t="str">
        <f t="shared" si="3"/>
        <v xml:space="preserve"> - %</v>
      </c>
      <c r="L19" s="325" t="str">
        <f t="shared" si="3"/>
        <v xml:space="preserve"> - %</v>
      </c>
      <c r="M19" s="325" t="str">
        <f t="shared" si="3"/>
        <v xml:space="preserve"> - %</v>
      </c>
      <c r="N19" s="325" t="str">
        <f t="shared" si="3"/>
        <v xml:space="preserve"> - %</v>
      </c>
      <c r="O19" s="326" t="str">
        <f t="shared" si="3"/>
        <v xml:space="preserve"> - %</v>
      </c>
    </row>
    <row r="20" spans="1:15" ht="11.25" customHeight="1" x14ac:dyDescent="0.2">
      <c r="C20" s="301" t="s">
        <v>86</v>
      </c>
      <c r="D20" s="317" t="s">
        <v>87</v>
      </c>
      <c r="E20" s="231"/>
      <c r="F20" s="231"/>
      <c r="G20" s="231"/>
      <c r="H20" s="231"/>
      <c r="I20" s="366"/>
      <c r="J20" s="5"/>
      <c r="K20" s="343"/>
      <c r="O20" s="342"/>
    </row>
    <row r="21" spans="1:15" ht="11.25" customHeight="1" x14ac:dyDescent="0.2">
      <c r="B21" s="334">
        <v>37</v>
      </c>
      <c r="C21" s="302" t="s">
        <v>81</v>
      </c>
      <c r="D21" s="318" t="s">
        <v>81</v>
      </c>
      <c r="E21" s="231">
        <f>SUMIF('Výkaz ziskov a strát'!B:B,B21,'Výkaz ziskov a strát'!O:O)/Units</f>
        <v>0</v>
      </c>
      <c r="F21" s="231">
        <f>SUMIF('Výkaz ziskov a strát'!B:B,B21,'Výkaz ziskov a strát'!N:N)/Units</f>
        <v>0</v>
      </c>
      <c r="G21" s="231">
        <f>SUMIF('Výkaz ziskov a strát'!B:B,B21,'Výkaz ziskov a strát'!M:M)/Units</f>
        <v>0</v>
      </c>
      <c r="H21" s="231">
        <f>SUMIF('Výkaz ziskov a strát'!B:B,B21,'Výkaz ziskov a strát'!L:L)/Units</f>
        <v>0</v>
      </c>
      <c r="I21" s="366">
        <f>SUMIF('Výkaz ziskov a strát'!B:B,B21,'Výkaz ziskov a strát'!K:K)/Units</f>
        <v>0</v>
      </c>
      <c r="K21" s="305" t="str">
        <f t="shared" ref="K21:O25" si="4">IFERROR(E21/E$11," - %")</f>
        <v xml:space="preserve"> - %</v>
      </c>
      <c r="L21" s="11" t="str">
        <f t="shared" si="4"/>
        <v xml:space="preserve"> - %</v>
      </c>
      <c r="M21" s="11" t="str">
        <f t="shared" si="4"/>
        <v xml:space="preserve"> - %</v>
      </c>
      <c r="N21" s="11" t="str">
        <f t="shared" si="4"/>
        <v xml:space="preserve"> - %</v>
      </c>
      <c r="O21" s="306" t="str">
        <f t="shared" si="4"/>
        <v xml:space="preserve"> - %</v>
      </c>
    </row>
    <row r="22" spans="1:15" ht="11.25" customHeight="1" x14ac:dyDescent="0.2">
      <c r="B22" s="334">
        <v>38</v>
      </c>
      <c r="C22" s="304" t="s">
        <v>82</v>
      </c>
      <c r="D22" s="321" t="s">
        <v>83</v>
      </c>
      <c r="E22" s="380">
        <f>SUMIF('Výkaz ziskov a strát'!B:B,B22,'Výkaz ziskov a strát'!O:O)/Units</f>
        <v>0</v>
      </c>
      <c r="F22" s="380">
        <f>SUMIF('Výkaz ziskov a strát'!B:B,B22,'Výkaz ziskov a strát'!N:N)/Units</f>
        <v>0</v>
      </c>
      <c r="G22" s="380">
        <f>SUMIF('Výkaz ziskov a strát'!B:B,B22,'Výkaz ziskov a strát'!M:M)/Units</f>
        <v>0</v>
      </c>
      <c r="H22" s="380">
        <f>SUMIF('Výkaz ziskov a strát'!B:B,B22,'Výkaz ziskov a strát'!L:L)/Units</f>
        <v>0</v>
      </c>
      <c r="I22" s="400">
        <f>SUMIF('Výkaz ziskov a strát'!B:B,B22,'Výkaz ziskov a strát'!K:K)/Units</f>
        <v>0</v>
      </c>
      <c r="K22" s="312" t="str">
        <f t="shared" si="4"/>
        <v xml:space="preserve"> - %</v>
      </c>
      <c r="L22" s="313" t="str">
        <f t="shared" si="4"/>
        <v xml:space="preserve"> - %</v>
      </c>
      <c r="M22" s="313" t="str">
        <f t="shared" si="4"/>
        <v xml:space="preserve"> - %</v>
      </c>
      <c r="N22" s="313" t="str">
        <f t="shared" si="4"/>
        <v xml:space="preserve"> - %</v>
      </c>
      <c r="O22" s="314" t="str">
        <f t="shared" si="4"/>
        <v xml:space="preserve"> - %</v>
      </c>
    </row>
    <row r="23" spans="1:15" s="54" customFormat="1" ht="11.25" customHeight="1" x14ac:dyDescent="0.2">
      <c r="A23" s="461"/>
      <c r="B23" s="337"/>
      <c r="C23" s="402"/>
      <c r="D23" s="403"/>
      <c r="E23" s="394">
        <f>+SUM(E21:E22)</f>
        <v>0</v>
      </c>
      <c r="F23" s="394">
        <f>+SUM(F21:F22)</f>
        <v>0</v>
      </c>
      <c r="G23" s="394">
        <f>+SUM(G21:G22)</f>
        <v>0</v>
      </c>
      <c r="H23" s="394">
        <f>+SUM(H21:H22)</f>
        <v>0</v>
      </c>
      <c r="I23" s="395">
        <f>+SUM(I21:I22)</f>
        <v>0</v>
      </c>
      <c r="J23" s="43"/>
      <c r="K23" s="331" t="str">
        <f t="shared" si="4"/>
        <v xml:space="preserve"> - %</v>
      </c>
      <c r="L23" s="332" t="str">
        <f t="shared" si="4"/>
        <v xml:space="preserve"> - %</v>
      </c>
      <c r="M23" s="332" t="str">
        <f t="shared" si="4"/>
        <v xml:space="preserve"> - %</v>
      </c>
      <c r="N23" s="332" t="str">
        <f t="shared" si="4"/>
        <v xml:space="preserve"> - %</v>
      </c>
      <c r="O23" s="333" t="str">
        <f t="shared" si="4"/>
        <v xml:space="preserve"> - %</v>
      </c>
    </row>
    <row r="24" spans="1:15" s="54" customFormat="1" ht="11.25" customHeight="1" x14ac:dyDescent="0.2">
      <c r="A24" s="461"/>
      <c r="B24" s="337"/>
      <c r="C24" s="404" t="s">
        <v>22</v>
      </c>
      <c r="D24" s="405" t="s">
        <v>853</v>
      </c>
      <c r="E24" s="394">
        <f>E15+E19+E23</f>
        <v>0</v>
      </c>
      <c r="F24" s="394">
        <f t="shared" ref="F24:I24" si="5">F15+F19+F23</f>
        <v>0</v>
      </c>
      <c r="G24" s="394">
        <f t="shared" si="5"/>
        <v>0</v>
      </c>
      <c r="H24" s="394">
        <f t="shared" si="5"/>
        <v>0</v>
      </c>
      <c r="I24" s="395">
        <f t="shared" si="5"/>
        <v>0</v>
      </c>
      <c r="J24" s="340"/>
      <c r="K24" s="416" t="str">
        <f t="shared" si="4"/>
        <v xml:space="preserve"> - %</v>
      </c>
      <c r="L24" s="417" t="str">
        <f t="shared" si="4"/>
        <v xml:space="preserve"> - %</v>
      </c>
      <c r="M24" s="417" t="str">
        <f t="shared" si="4"/>
        <v xml:space="preserve"> - %</v>
      </c>
      <c r="N24" s="417" t="str">
        <f t="shared" si="4"/>
        <v xml:space="preserve"> - %</v>
      </c>
      <c r="O24" s="418" t="str">
        <f t="shared" si="4"/>
        <v xml:space="preserve"> - %</v>
      </c>
    </row>
    <row r="25" spans="1:15" ht="11.25" customHeight="1" x14ac:dyDescent="0.2">
      <c r="C25" s="381" t="s">
        <v>24</v>
      </c>
      <c r="D25" s="381" t="s">
        <v>625</v>
      </c>
      <c r="E25" s="368">
        <f>E11+E24</f>
        <v>0</v>
      </c>
      <c r="F25" s="368">
        <f>F11+F24</f>
        <v>0</v>
      </c>
      <c r="G25" s="368">
        <f>G11+G24</f>
        <v>0</v>
      </c>
      <c r="H25" s="368">
        <f>H11+H24</f>
        <v>0</v>
      </c>
      <c r="I25" s="369">
        <f>I11+I24</f>
        <v>0</v>
      </c>
      <c r="J25" s="12"/>
      <c r="K25" s="324" t="str">
        <f t="shared" si="4"/>
        <v xml:space="preserve"> - %</v>
      </c>
      <c r="L25" s="325" t="str">
        <f t="shared" si="4"/>
        <v xml:space="preserve"> - %</v>
      </c>
      <c r="M25" s="325" t="str">
        <f t="shared" si="4"/>
        <v xml:space="preserve"> - %</v>
      </c>
      <c r="N25" s="325" t="str">
        <f t="shared" si="4"/>
        <v xml:space="preserve"> - %</v>
      </c>
      <c r="O25" s="326" t="str">
        <f t="shared" si="4"/>
        <v xml:space="preserve"> - %</v>
      </c>
    </row>
    <row r="26" spans="1:15" ht="11.25" customHeight="1" x14ac:dyDescent="0.2">
      <c r="C26" s="71"/>
      <c r="D26" s="232"/>
      <c r="E26" s="378"/>
      <c r="F26" s="378"/>
      <c r="G26" s="378"/>
      <c r="H26" s="378"/>
      <c r="I26" s="379"/>
      <c r="K26" s="324"/>
      <c r="L26" s="325"/>
      <c r="M26" s="325"/>
      <c r="N26" s="325"/>
      <c r="O26" s="326"/>
    </row>
    <row r="27" spans="1:15" ht="11.25" customHeight="1" x14ac:dyDescent="0.2">
      <c r="B27" s="336"/>
      <c r="C27" s="301" t="s">
        <v>859</v>
      </c>
      <c r="D27" s="315" t="s">
        <v>52</v>
      </c>
      <c r="E27" s="231"/>
      <c r="F27" s="231"/>
      <c r="G27" s="231"/>
      <c r="H27" s="231"/>
      <c r="I27" s="366"/>
      <c r="J27" s="5"/>
      <c r="K27" s="343"/>
      <c r="O27" s="342"/>
    </row>
    <row r="28" spans="1:15" ht="11.25" customHeight="1" x14ac:dyDescent="0.2">
      <c r="B28" s="334">
        <v>6</v>
      </c>
      <c r="C28" s="300" t="s">
        <v>25</v>
      </c>
      <c r="D28" s="316" t="s">
        <v>53</v>
      </c>
      <c r="E28" s="231">
        <f>SUMIF('Výkaz ziskov a strát'!B:B,B28,'Výkaz ziskov a strát'!O:O)/Units</f>
        <v>0</v>
      </c>
      <c r="F28" s="231">
        <f>SUMIF('Výkaz ziskov a strát'!B:B,B28,'Výkaz ziskov a strát'!N:N)/Units</f>
        <v>0</v>
      </c>
      <c r="G28" s="231">
        <f>SUMIF('Výkaz ziskov a strát'!B:B,B28,'Výkaz ziskov a strát'!M:M)/Units</f>
        <v>0</v>
      </c>
      <c r="H28" s="231">
        <f>SUMIF('Výkaz ziskov a strát'!B:B,B28,'Výkaz ziskov a strát'!L:L)/Units</f>
        <v>0</v>
      </c>
      <c r="I28" s="366">
        <f>SUMIF('Výkaz ziskov a strát'!B:B,B28,'Výkaz ziskov a strát'!K:K)/Units</f>
        <v>0</v>
      </c>
      <c r="K28" s="305" t="str">
        <f>IFERROR(E28/E$11," - %")</f>
        <v xml:space="preserve"> - %</v>
      </c>
      <c r="L28" s="11" t="str">
        <f>IFERROR(F28/F$11," - %")</f>
        <v xml:space="preserve"> - %</v>
      </c>
      <c r="M28" s="11" t="str">
        <f>IFERROR(G28/G$11," - %")</f>
        <v xml:space="preserve"> - %</v>
      </c>
      <c r="N28" s="11" t="str">
        <f>IFERROR(H28/H$11," - %")</f>
        <v xml:space="preserve"> - %</v>
      </c>
      <c r="O28" s="306" t="str">
        <f>IFERROR(I28/I$11," - %")</f>
        <v xml:space="preserve"> - %</v>
      </c>
    </row>
    <row r="29" spans="1:15" ht="11.25" customHeight="1" x14ac:dyDescent="0.2">
      <c r="C29" s="301" t="s">
        <v>27</v>
      </c>
      <c r="D29" s="315" t="s">
        <v>59</v>
      </c>
      <c r="E29" s="231"/>
      <c r="F29" s="231"/>
      <c r="G29" s="231"/>
      <c r="H29" s="231"/>
      <c r="I29" s="366"/>
      <c r="J29" s="5"/>
      <c r="K29" s="343"/>
      <c r="O29" s="342"/>
    </row>
    <row r="30" spans="1:15" ht="11.25" customHeight="1" x14ac:dyDescent="0.2">
      <c r="B30" s="334">
        <v>9</v>
      </c>
      <c r="C30" s="303" t="s">
        <v>60</v>
      </c>
      <c r="D30" s="320" t="s">
        <v>61</v>
      </c>
      <c r="E30" s="231">
        <f>SUMIF('Výkaz ziskov a strát'!B:B,B30,'Výkaz ziskov a strát'!O:O)/Units</f>
        <v>0</v>
      </c>
      <c r="F30" s="231">
        <f>SUMIF('Výkaz ziskov a strát'!B:B,B30,'Výkaz ziskov a strát'!N:N)/Units</f>
        <v>0</v>
      </c>
      <c r="G30" s="231">
        <f>SUMIF('Výkaz ziskov a strát'!B:B,B30,'Výkaz ziskov a strát'!M:M)/Units</f>
        <v>0</v>
      </c>
      <c r="H30" s="231">
        <f>SUMIF('Výkaz ziskov a strát'!B:B,B30,'Výkaz ziskov a strát'!L:L)/Units</f>
        <v>0</v>
      </c>
      <c r="I30" s="366">
        <f>SUMIF('Výkaz ziskov a strát'!B:B,B30,'Výkaz ziskov a strát'!K:K)/Units</f>
        <v>0</v>
      </c>
      <c r="K30" s="305" t="str">
        <f t="shared" ref="K30:O35" si="6">IFERROR(E30/E$11," - %")</f>
        <v xml:space="preserve"> - %</v>
      </c>
      <c r="L30" s="11" t="str">
        <f t="shared" si="6"/>
        <v xml:space="preserve"> - %</v>
      </c>
      <c r="M30" s="11" t="str">
        <f t="shared" si="6"/>
        <v xml:space="preserve"> - %</v>
      </c>
      <c r="N30" s="11" t="str">
        <f t="shared" si="6"/>
        <v xml:space="preserve"> - %</v>
      </c>
      <c r="O30" s="306" t="str">
        <f t="shared" si="6"/>
        <v xml:space="preserve"> - %</v>
      </c>
    </row>
    <row r="31" spans="1:15" ht="11.25" customHeight="1" x14ac:dyDescent="0.2">
      <c r="B31" s="334">
        <v>11</v>
      </c>
      <c r="C31" s="303" t="s">
        <v>62</v>
      </c>
      <c r="D31" s="320" t="s">
        <v>63</v>
      </c>
      <c r="E31" s="231">
        <f>SUMIF('Výkaz ziskov a strát'!B:B,B31,'Výkaz ziskov a strát'!O:O)/Units</f>
        <v>0</v>
      </c>
      <c r="F31" s="231">
        <f>SUMIF('Výkaz ziskov a strát'!B:B,B31,'Výkaz ziskov a strát'!N:N)/Units</f>
        <v>0</v>
      </c>
      <c r="G31" s="231">
        <f>SUMIF('Výkaz ziskov a strát'!B:B,B31,'Výkaz ziskov a strát'!M:M)/Units</f>
        <v>0</v>
      </c>
      <c r="H31" s="231">
        <f>SUMIF('Výkaz ziskov a strát'!B:B,B31,'Výkaz ziskov a strát'!L:L)/Units</f>
        <v>0</v>
      </c>
      <c r="I31" s="366">
        <f>SUMIF('Výkaz ziskov a strát'!B:B,B31,'Výkaz ziskov a strát'!K:K)/Units</f>
        <v>0</v>
      </c>
      <c r="K31" s="305" t="str">
        <f t="shared" si="6"/>
        <v xml:space="preserve"> - %</v>
      </c>
      <c r="L31" s="11" t="str">
        <f t="shared" si="6"/>
        <v xml:space="preserve"> - %</v>
      </c>
      <c r="M31" s="11" t="str">
        <f t="shared" si="6"/>
        <v xml:space="preserve"> - %</v>
      </c>
      <c r="N31" s="11" t="str">
        <f t="shared" si="6"/>
        <v xml:space="preserve"> - %</v>
      </c>
      <c r="O31" s="306" t="str">
        <f t="shared" si="6"/>
        <v xml:space="preserve"> - %</v>
      </c>
    </row>
    <row r="32" spans="1:15" ht="11.25" customHeight="1" x14ac:dyDescent="0.2">
      <c r="B32" s="334">
        <v>12</v>
      </c>
      <c r="C32" s="303" t="s">
        <v>64</v>
      </c>
      <c r="D32" s="320" t="s">
        <v>65</v>
      </c>
      <c r="E32" s="231">
        <f>SUMIF('Výkaz ziskov a strát'!B:B,B32,'Výkaz ziskov a strát'!O:O)/Units</f>
        <v>0</v>
      </c>
      <c r="F32" s="231">
        <f>SUMIF('Výkaz ziskov a strát'!B:B,B32,'Výkaz ziskov a strát'!N:N)/Units</f>
        <v>0</v>
      </c>
      <c r="G32" s="231">
        <f>SUMIF('Výkaz ziskov a strát'!B:B,B32,'Výkaz ziskov a strát'!M:M)/Units</f>
        <v>0</v>
      </c>
      <c r="H32" s="231">
        <f>SUMIF('Výkaz ziskov a strát'!B:B,B32,'Výkaz ziskov a strát'!L:L)/Units</f>
        <v>0</v>
      </c>
      <c r="I32" s="366">
        <f>SUMIF('Výkaz ziskov a strát'!B:B,B32,'Výkaz ziskov a strát'!K:K)/Units</f>
        <v>0</v>
      </c>
      <c r="K32" s="305" t="str">
        <f t="shared" si="6"/>
        <v xml:space="preserve"> - %</v>
      </c>
      <c r="L32" s="11" t="str">
        <f t="shared" si="6"/>
        <v xml:space="preserve"> - %</v>
      </c>
      <c r="M32" s="11" t="str">
        <f t="shared" si="6"/>
        <v xml:space="preserve"> - %</v>
      </c>
      <c r="N32" s="11" t="str">
        <f t="shared" si="6"/>
        <v xml:space="preserve"> - %</v>
      </c>
      <c r="O32" s="306" t="str">
        <f t="shared" si="6"/>
        <v xml:space="preserve"> - %</v>
      </c>
    </row>
    <row r="33" spans="1:15" ht="11.25" customHeight="1" x14ac:dyDescent="0.2">
      <c r="B33" s="334">
        <v>10</v>
      </c>
      <c r="C33" s="406" t="s">
        <v>66</v>
      </c>
      <c r="D33" s="407" t="s">
        <v>67</v>
      </c>
      <c r="E33" s="380">
        <f>SUMIF('Výkaz ziskov a strát'!B:B,B33,'Výkaz ziskov a strát'!O:O)/Units</f>
        <v>0</v>
      </c>
      <c r="F33" s="380">
        <f>SUMIF('Výkaz ziskov a strát'!B:B,B33,'Výkaz ziskov a strát'!N:N)/Units</f>
        <v>0</v>
      </c>
      <c r="G33" s="380">
        <f>SUMIF('Výkaz ziskov a strát'!B:B,B33,'Výkaz ziskov a strát'!M:M)/Units</f>
        <v>0</v>
      </c>
      <c r="H33" s="380">
        <f>SUMIF('Výkaz ziskov a strát'!B:B,B33,'Výkaz ziskov a strát'!L:L)/Units</f>
        <v>0</v>
      </c>
      <c r="I33" s="400">
        <f>SUMIF('Výkaz ziskov a strát'!B:B,B33,'Výkaz ziskov a strát'!K:K)/Units</f>
        <v>0</v>
      </c>
      <c r="K33" s="312" t="str">
        <f t="shared" si="6"/>
        <v xml:space="preserve"> - %</v>
      </c>
      <c r="L33" s="313" t="str">
        <f t="shared" si="6"/>
        <v xml:space="preserve"> - %</v>
      </c>
      <c r="M33" s="313" t="str">
        <f t="shared" si="6"/>
        <v xml:space="preserve"> - %</v>
      </c>
      <c r="N33" s="313" t="str">
        <f t="shared" si="6"/>
        <v xml:space="preserve"> - %</v>
      </c>
      <c r="O33" s="314" t="str">
        <f t="shared" si="6"/>
        <v xml:space="preserve"> - %</v>
      </c>
    </row>
    <row r="34" spans="1:15" s="54" customFormat="1" ht="11.25" customHeight="1" x14ac:dyDescent="0.2">
      <c r="A34" s="461"/>
      <c r="B34" s="337"/>
      <c r="C34" s="382"/>
      <c r="D34" s="383"/>
      <c r="E34" s="368">
        <f>+SUM(E30:E33)</f>
        <v>0</v>
      </c>
      <c r="F34" s="368">
        <f>+SUM(F30:F33)</f>
        <v>0</v>
      </c>
      <c r="G34" s="368">
        <f>+SUM(G30:G33)</f>
        <v>0</v>
      </c>
      <c r="H34" s="368">
        <f>+SUM(H30:H33)</f>
        <v>0</v>
      </c>
      <c r="I34" s="369">
        <f>+SUM(I30:I33)</f>
        <v>0</v>
      </c>
      <c r="J34" s="43"/>
      <c r="K34" s="324" t="str">
        <f t="shared" si="6"/>
        <v xml:space="preserve"> - %</v>
      </c>
      <c r="L34" s="325" t="str">
        <f t="shared" si="6"/>
        <v xml:space="preserve"> - %</v>
      </c>
      <c r="M34" s="325" t="str">
        <f t="shared" si="6"/>
        <v xml:space="preserve"> - %</v>
      </c>
      <c r="N34" s="325" t="str">
        <f t="shared" si="6"/>
        <v xml:space="preserve"> - %</v>
      </c>
      <c r="O34" s="326" t="str">
        <f t="shared" si="6"/>
        <v xml:space="preserve"> - %</v>
      </c>
    </row>
    <row r="35" spans="1:15" ht="11.25" customHeight="1" x14ac:dyDescent="0.2">
      <c r="B35" s="334">
        <v>13</v>
      </c>
      <c r="C35" s="300" t="s">
        <v>28</v>
      </c>
      <c r="D35" s="319" t="s">
        <v>68</v>
      </c>
      <c r="E35" s="368">
        <f>SUMIF('Výkaz ziskov a strát'!B:B,B35,'Výkaz ziskov a strát'!O:O)/Units</f>
        <v>0</v>
      </c>
      <c r="F35" s="368">
        <f>SUMIF('Výkaz ziskov a strát'!B:B,B35,'Výkaz ziskov a strát'!N:N)/Units</f>
        <v>0</v>
      </c>
      <c r="G35" s="368">
        <f>SUMIF('Výkaz ziskov a strát'!B:B,B35,'Výkaz ziskov a strát'!M:M)/Units</f>
        <v>0</v>
      </c>
      <c r="H35" s="368">
        <f>SUMIF('Výkaz ziskov a strát'!B:B,B35,'Výkaz ziskov a strát'!L:L)/Units</f>
        <v>0</v>
      </c>
      <c r="I35" s="369">
        <f>SUMIF('Výkaz ziskov a strát'!B:B,B35,'Výkaz ziskov a strát'!K:K)/Units</f>
        <v>0</v>
      </c>
      <c r="K35" s="305" t="str">
        <f t="shared" si="6"/>
        <v xml:space="preserve"> - %</v>
      </c>
      <c r="L35" s="11" t="str">
        <f t="shared" si="6"/>
        <v xml:space="preserve"> - %</v>
      </c>
      <c r="M35" s="11" t="str">
        <f t="shared" si="6"/>
        <v xml:space="preserve"> - %</v>
      </c>
      <c r="N35" s="11" t="str">
        <f t="shared" si="6"/>
        <v xml:space="preserve"> - %</v>
      </c>
      <c r="O35" s="306" t="str">
        <f t="shared" si="6"/>
        <v xml:space="preserve"> - %</v>
      </c>
    </row>
    <row r="36" spans="1:15" ht="11.25" customHeight="1" x14ac:dyDescent="0.2">
      <c r="C36" s="301" t="s">
        <v>29</v>
      </c>
      <c r="D36" s="317" t="s">
        <v>69</v>
      </c>
      <c r="E36" s="231"/>
      <c r="F36" s="231"/>
      <c r="G36" s="231"/>
      <c r="H36" s="231"/>
      <c r="I36" s="366"/>
      <c r="J36" s="5"/>
      <c r="K36" s="343"/>
      <c r="O36" s="342"/>
    </row>
    <row r="37" spans="1:15" ht="11.25" customHeight="1" x14ac:dyDescent="0.2">
      <c r="B37" s="334">
        <v>20</v>
      </c>
      <c r="C37" s="302" t="s">
        <v>70</v>
      </c>
      <c r="D37" s="318" t="s">
        <v>71</v>
      </c>
      <c r="E37" s="231">
        <f>SUMIF('Výkaz ziskov a strát'!B:B,B37,'Výkaz ziskov a strát'!O:O)/Units</f>
        <v>0</v>
      </c>
      <c r="F37" s="231">
        <f>SUMIF('Výkaz ziskov a strát'!B:B,B37,'Výkaz ziskov a strát'!N:N)/Units</f>
        <v>0</v>
      </c>
      <c r="G37" s="231">
        <f>SUMIF('Výkaz ziskov a strát'!B:B,B37,'Výkaz ziskov a strát'!M:M)/Units</f>
        <v>0</v>
      </c>
      <c r="H37" s="231">
        <f>SUMIF('Výkaz ziskov a strát'!B:B,B37,'Výkaz ziskov a strát'!L:L)/Units</f>
        <v>0</v>
      </c>
      <c r="I37" s="366">
        <f>SUMIF('Výkaz ziskov a strát'!B:B,B37,'Výkaz ziskov a strát'!K:K)/Units</f>
        <v>0</v>
      </c>
      <c r="K37" s="305" t="str">
        <f t="shared" ref="K37:O41" si="7">IFERROR(E37/E$11," - %")</f>
        <v xml:space="preserve"> - %</v>
      </c>
      <c r="L37" s="11" t="str">
        <f t="shared" si="7"/>
        <v xml:space="preserve"> - %</v>
      </c>
      <c r="M37" s="11" t="str">
        <f t="shared" si="7"/>
        <v xml:space="preserve"> - %</v>
      </c>
      <c r="N37" s="11" t="str">
        <f t="shared" si="7"/>
        <v xml:space="preserve"> - %</v>
      </c>
      <c r="O37" s="306" t="str">
        <f t="shared" si="7"/>
        <v xml:space="preserve"> - %</v>
      </c>
    </row>
    <row r="38" spans="1:15" ht="11.25" customHeight="1" x14ac:dyDescent="0.2">
      <c r="B38" s="334">
        <v>21</v>
      </c>
      <c r="C38" s="304" t="s">
        <v>72</v>
      </c>
      <c r="D38" s="321" t="s">
        <v>73</v>
      </c>
      <c r="E38" s="380">
        <f>SUMIF('Výkaz ziskov a strát'!B:B,B38,'Výkaz ziskov a strát'!O:O)/Units</f>
        <v>0</v>
      </c>
      <c r="F38" s="380">
        <f>SUMIF('Výkaz ziskov a strát'!B:B,B38,'Výkaz ziskov a strát'!N:N)/Units</f>
        <v>0</v>
      </c>
      <c r="G38" s="380">
        <f>SUMIF('Výkaz ziskov a strát'!B:B,B38,'Výkaz ziskov a strát'!M:M)/Units</f>
        <v>0</v>
      </c>
      <c r="H38" s="380">
        <f>SUMIF('Výkaz ziskov a strát'!B:B,B38,'Výkaz ziskov a strát'!L:L)/Units</f>
        <v>0</v>
      </c>
      <c r="I38" s="400">
        <f>SUMIF('Výkaz ziskov a strát'!B:B,B38,'Výkaz ziskov a strát'!K:K)/Units</f>
        <v>0</v>
      </c>
      <c r="K38" s="312" t="str">
        <f t="shared" si="7"/>
        <v xml:space="preserve"> - %</v>
      </c>
      <c r="L38" s="313" t="str">
        <f t="shared" si="7"/>
        <v xml:space="preserve"> - %</v>
      </c>
      <c r="M38" s="313" t="str">
        <f t="shared" si="7"/>
        <v xml:space="preserve"> - %</v>
      </c>
      <c r="N38" s="313" t="str">
        <f t="shared" si="7"/>
        <v xml:space="preserve"> - %</v>
      </c>
      <c r="O38" s="314" t="str">
        <f t="shared" si="7"/>
        <v xml:space="preserve"> - %</v>
      </c>
    </row>
    <row r="39" spans="1:15" s="54" customFormat="1" ht="11.25" customHeight="1" x14ac:dyDescent="0.2">
      <c r="A39" s="461"/>
      <c r="B39" s="337"/>
      <c r="C39" s="322"/>
      <c r="D39" s="323"/>
      <c r="E39" s="368">
        <f>+SUM(E37:E38)</f>
        <v>0</v>
      </c>
      <c r="F39" s="368">
        <f>+SUM(F37:F38)</f>
        <v>0</v>
      </c>
      <c r="G39" s="368">
        <f>+SUM(G37:G38)</f>
        <v>0</v>
      </c>
      <c r="H39" s="368">
        <f>+SUM(H37:H38)</f>
        <v>0</v>
      </c>
      <c r="I39" s="369">
        <f>+SUM(I37:I38)</f>
        <v>0</v>
      </c>
      <c r="J39" s="43"/>
      <c r="K39" s="324" t="str">
        <f t="shared" si="7"/>
        <v xml:space="preserve"> - %</v>
      </c>
      <c r="L39" s="325" t="str">
        <f t="shared" si="7"/>
        <v xml:space="preserve"> - %</v>
      </c>
      <c r="M39" s="325" t="str">
        <f t="shared" si="7"/>
        <v xml:space="preserve"> - %</v>
      </c>
      <c r="N39" s="325" t="str">
        <f t="shared" si="7"/>
        <v xml:space="preserve"> - %</v>
      </c>
      <c r="O39" s="326" t="str">
        <f t="shared" si="7"/>
        <v xml:space="preserve"> - %</v>
      </c>
    </row>
    <row r="40" spans="1:15" ht="11.25" customHeight="1" x14ac:dyDescent="0.2">
      <c r="B40" s="334">
        <v>31</v>
      </c>
      <c r="C40" s="300" t="s">
        <v>74</v>
      </c>
      <c r="D40" s="276" t="s">
        <v>75</v>
      </c>
      <c r="E40" s="368">
        <f>SUMIF('Výkaz ziskov a strát'!B:B,B40,'Výkaz ziskov a strát'!O:O)/Units</f>
        <v>0</v>
      </c>
      <c r="F40" s="368">
        <f>SUMIF('Výkaz ziskov a strát'!B:B,B40,'Výkaz ziskov a strát'!N:N)/Units</f>
        <v>0</v>
      </c>
      <c r="G40" s="368">
        <f>SUMIF('Výkaz ziskov a strát'!B:B,B40,'Výkaz ziskov a strát'!M:M)/Units</f>
        <v>0</v>
      </c>
      <c r="H40" s="368">
        <f>SUMIF('Výkaz ziskov a strát'!B:B,B40,'Výkaz ziskov a strát'!L:L)/Units</f>
        <v>0</v>
      </c>
      <c r="I40" s="369">
        <f>SUMIF('Výkaz ziskov a strát'!B:B,B40,'Výkaz ziskov a strát'!K:K)/Units</f>
        <v>0</v>
      </c>
      <c r="K40" s="305" t="str">
        <f t="shared" si="7"/>
        <v xml:space="preserve"> - %</v>
      </c>
      <c r="L40" s="11" t="str">
        <f t="shared" si="7"/>
        <v xml:space="preserve"> - %</v>
      </c>
      <c r="M40" s="11" t="str">
        <f t="shared" si="7"/>
        <v xml:space="preserve"> - %</v>
      </c>
      <c r="N40" s="11" t="str">
        <f t="shared" si="7"/>
        <v xml:space="preserve"> - %</v>
      </c>
      <c r="O40" s="306" t="str">
        <f t="shared" si="7"/>
        <v xml:space="preserve"> - %</v>
      </c>
    </row>
    <row r="41" spans="1:15" ht="11.25" customHeight="1" x14ac:dyDescent="0.2">
      <c r="B41" s="334">
        <v>32</v>
      </c>
      <c r="C41" s="300" t="s">
        <v>604</v>
      </c>
      <c r="D41" s="276" t="s">
        <v>511</v>
      </c>
      <c r="E41" s="368">
        <f>SUMIF('Výkaz ziskov a strát'!B:B,B41,'Výkaz ziskov a strát'!O:O)/Units</f>
        <v>0</v>
      </c>
      <c r="F41" s="368">
        <f>SUMIF('Výkaz ziskov a strát'!B:B,B41,'Výkaz ziskov a strát'!N:N)/Units</f>
        <v>0</v>
      </c>
      <c r="G41" s="368">
        <f>SUMIF('Výkaz ziskov a strát'!B:B,B41,'Výkaz ziskov a strát'!M:M)/Units</f>
        <v>0</v>
      </c>
      <c r="H41" s="368">
        <f>SUMIF('Výkaz ziskov a strát'!B:B,B41,'Výkaz ziskov a strát'!L:L)/Units</f>
        <v>0</v>
      </c>
      <c r="I41" s="369">
        <f>SUMIF('Výkaz ziskov a strát'!B:B,B41,'Výkaz ziskov a strát'!K:K)/Units</f>
        <v>0</v>
      </c>
      <c r="K41" s="305" t="str">
        <f t="shared" si="7"/>
        <v xml:space="preserve"> - %</v>
      </c>
      <c r="L41" s="11" t="str">
        <f t="shared" si="7"/>
        <v xml:space="preserve"> - %</v>
      </c>
      <c r="M41" s="11" t="str">
        <f t="shared" si="7"/>
        <v xml:space="preserve"> - %</v>
      </c>
      <c r="N41" s="11" t="str">
        <f t="shared" si="7"/>
        <v xml:space="preserve"> - %</v>
      </c>
      <c r="O41" s="306" t="str">
        <f t="shared" si="7"/>
        <v xml:space="preserve"> - %</v>
      </c>
    </row>
    <row r="42" spans="1:15" ht="11.25" customHeight="1" x14ac:dyDescent="0.2">
      <c r="C42" s="301" t="s">
        <v>76</v>
      </c>
      <c r="D42" s="317" t="s">
        <v>77</v>
      </c>
      <c r="E42" s="231"/>
      <c r="F42" s="231"/>
      <c r="G42" s="231"/>
      <c r="H42" s="231"/>
      <c r="I42" s="366"/>
      <c r="J42" s="5"/>
      <c r="K42" s="343"/>
      <c r="O42" s="342"/>
    </row>
    <row r="43" spans="1:15" ht="11.25" customHeight="1" x14ac:dyDescent="0.2">
      <c r="B43" s="334">
        <v>16</v>
      </c>
      <c r="C43" s="302" t="s">
        <v>70</v>
      </c>
      <c r="D43" s="318" t="s">
        <v>71</v>
      </c>
      <c r="E43" s="231">
        <f>SUMIF('Výkaz ziskov a strát'!B:B,B43,'Výkaz ziskov a strát'!O:O)/Units</f>
        <v>0</v>
      </c>
      <c r="F43" s="231">
        <f>SUMIF('Výkaz ziskov a strát'!B:B,B43,'Výkaz ziskov a strát'!N:N)/Units</f>
        <v>0</v>
      </c>
      <c r="G43" s="231">
        <f>SUMIF('Výkaz ziskov a strát'!B:B,B43,'Výkaz ziskov a strát'!M:M)/Units</f>
        <v>0</v>
      </c>
      <c r="H43" s="231">
        <f>SUMIF('Výkaz ziskov a strát'!B:B,B43,'Výkaz ziskov a strát'!L:L)/Units</f>
        <v>0</v>
      </c>
      <c r="I43" s="366">
        <f>SUMIF('Výkaz ziskov a strát'!B:B,B43,'Výkaz ziskov a strát'!K:K)/Units</f>
        <v>0</v>
      </c>
      <c r="K43" s="305" t="str">
        <f t="shared" ref="K43:O45" si="8">IFERROR(E43/E$11," - %")</f>
        <v xml:space="preserve"> - %</v>
      </c>
      <c r="L43" s="11" t="str">
        <f t="shared" si="8"/>
        <v xml:space="preserve"> - %</v>
      </c>
      <c r="M43" s="11" t="str">
        <f t="shared" si="8"/>
        <v xml:space="preserve"> - %</v>
      </c>
      <c r="N43" s="11" t="str">
        <f t="shared" si="8"/>
        <v xml:space="preserve"> - %</v>
      </c>
      <c r="O43" s="306" t="str">
        <f t="shared" si="8"/>
        <v xml:space="preserve"> - %</v>
      </c>
    </row>
    <row r="44" spans="1:15" ht="11.25" customHeight="1" x14ac:dyDescent="0.2">
      <c r="B44" s="334">
        <v>17</v>
      </c>
      <c r="C44" s="304" t="s">
        <v>72</v>
      </c>
      <c r="D44" s="321" t="s">
        <v>73</v>
      </c>
      <c r="E44" s="380">
        <f>SUMIF('Výkaz ziskov a strát'!B:B,B44,'Výkaz ziskov a strát'!O:O)/Units</f>
        <v>0</v>
      </c>
      <c r="F44" s="380">
        <f>SUMIF('Výkaz ziskov a strát'!B:B,B44,'Výkaz ziskov a strát'!N:N)/Units</f>
        <v>0</v>
      </c>
      <c r="G44" s="380">
        <f>SUMIF('Výkaz ziskov a strát'!B:B,B44,'Výkaz ziskov a strát'!M:M)/Units</f>
        <v>0</v>
      </c>
      <c r="H44" s="380">
        <f>SUMIF('Výkaz ziskov a strát'!B:B,B44,'Výkaz ziskov a strát'!L:L)/Units</f>
        <v>0</v>
      </c>
      <c r="I44" s="400">
        <f>SUMIF('Výkaz ziskov a strát'!B:B,B44,'Výkaz ziskov a strát'!K:K)/Units</f>
        <v>0</v>
      </c>
      <c r="K44" s="312" t="str">
        <f t="shared" si="8"/>
        <v xml:space="preserve"> - %</v>
      </c>
      <c r="L44" s="313" t="str">
        <f t="shared" si="8"/>
        <v xml:space="preserve"> - %</v>
      </c>
      <c r="M44" s="313" t="str">
        <f t="shared" si="8"/>
        <v xml:space="preserve"> - %</v>
      </c>
      <c r="N44" s="313" t="str">
        <f t="shared" si="8"/>
        <v xml:space="preserve"> - %</v>
      </c>
      <c r="O44" s="314" t="str">
        <f t="shared" si="8"/>
        <v xml:space="preserve"> - %</v>
      </c>
    </row>
    <row r="45" spans="1:15" ht="11.25" customHeight="1" x14ac:dyDescent="0.2">
      <c r="C45" s="302"/>
      <c r="D45" s="318"/>
      <c r="E45" s="368">
        <f>SUM(E43:E44)</f>
        <v>0</v>
      </c>
      <c r="F45" s="368">
        <f>SUM(F43:F44)</f>
        <v>0</v>
      </c>
      <c r="G45" s="368">
        <f>SUM(G43:G44)</f>
        <v>0</v>
      </c>
      <c r="H45" s="368">
        <f>SUM(H43:H44)</f>
        <v>0</v>
      </c>
      <c r="I45" s="369">
        <f>SUM(I43:I44)</f>
        <v>0</v>
      </c>
      <c r="K45" s="305" t="str">
        <f t="shared" si="8"/>
        <v xml:space="preserve"> - %</v>
      </c>
      <c r="L45" s="11" t="str">
        <f t="shared" si="8"/>
        <v xml:space="preserve"> - %</v>
      </c>
      <c r="M45" s="11" t="str">
        <f t="shared" si="8"/>
        <v xml:space="preserve"> - %</v>
      </c>
      <c r="N45" s="11" t="str">
        <f t="shared" si="8"/>
        <v xml:space="preserve"> - %</v>
      </c>
      <c r="O45" s="306" t="str">
        <f t="shared" si="8"/>
        <v xml:space="preserve"> - %</v>
      </c>
    </row>
    <row r="46" spans="1:15" ht="11.25" customHeight="1" x14ac:dyDescent="0.2">
      <c r="C46" s="301" t="s">
        <v>30</v>
      </c>
      <c r="D46" s="317" t="s">
        <v>78</v>
      </c>
      <c r="E46" s="231"/>
      <c r="F46" s="231"/>
      <c r="G46" s="231"/>
      <c r="H46" s="231"/>
      <c r="I46" s="366"/>
      <c r="J46" s="5"/>
      <c r="K46" s="343"/>
      <c r="O46" s="342"/>
    </row>
    <row r="47" spans="1:15" ht="11.25" customHeight="1" x14ac:dyDescent="0.2">
      <c r="B47" s="334">
        <v>18</v>
      </c>
      <c r="C47" s="302" t="s">
        <v>70</v>
      </c>
      <c r="D47" s="318" t="s">
        <v>71</v>
      </c>
      <c r="E47" s="231">
        <f>SUMIF('Výkaz ziskov a strát'!B:B,B47,'Výkaz ziskov a strát'!O:O)/Units</f>
        <v>0</v>
      </c>
      <c r="F47" s="231">
        <f>SUMIF('Výkaz ziskov a strát'!B:B,B47,'Výkaz ziskov a strát'!N:N)/Units</f>
        <v>0</v>
      </c>
      <c r="G47" s="231">
        <f>SUMIF('Výkaz ziskov a strát'!B:B,B47,'Výkaz ziskov a strát'!M:M)/Units</f>
        <v>0</v>
      </c>
      <c r="H47" s="231">
        <f>SUMIF('Výkaz ziskov a strát'!B:B,B47,'Výkaz ziskov a strát'!L:L)/Units</f>
        <v>0</v>
      </c>
      <c r="I47" s="366">
        <f>SUMIF('Výkaz ziskov a strát'!B:B,B47,'Výkaz ziskov a strát'!K:K)/Units</f>
        <v>0</v>
      </c>
      <c r="K47" s="305" t="str">
        <f t="shared" ref="K47:O51" si="9">IFERROR(E47/E$11," - %")</f>
        <v xml:space="preserve"> - %</v>
      </c>
      <c r="L47" s="11" t="str">
        <f t="shared" si="9"/>
        <v xml:space="preserve"> - %</v>
      </c>
      <c r="M47" s="11" t="str">
        <f t="shared" si="9"/>
        <v xml:space="preserve"> - %</v>
      </c>
      <c r="N47" s="11" t="str">
        <f t="shared" si="9"/>
        <v xml:space="preserve"> - %</v>
      </c>
      <c r="O47" s="306" t="str">
        <f t="shared" si="9"/>
        <v xml:space="preserve"> - %</v>
      </c>
    </row>
    <row r="48" spans="1:15" ht="11.25" customHeight="1" x14ac:dyDescent="0.2">
      <c r="B48" s="334">
        <v>19</v>
      </c>
      <c r="C48" s="304" t="s">
        <v>72</v>
      </c>
      <c r="D48" s="321" t="s">
        <v>73</v>
      </c>
      <c r="E48" s="380">
        <f>SUMIF('Výkaz ziskov a strát'!B:B,B48,'Výkaz ziskov a strát'!O:O)/Units</f>
        <v>0</v>
      </c>
      <c r="F48" s="380">
        <f>SUMIF('Výkaz ziskov a strát'!B:B,B48,'Výkaz ziskov a strát'!N:N)/Units</f>
        <v>0</v>
      </c>
      <c r="G48" s="380">
        <f>SUMIF('Výkaz ziskov a strát'!B:B,B48,'Výkaz ziskov a strát'!M:M)/Units</f>
        <v>0</v>
      </c>
      <c r="H48" s="380">
        <f>SUMIF('Výkaz ziskov a strát'!B:B,B48,'Výkaz ziskov a strát'!L:L)/Units</f>
        <v>0</v>
      </c>
      <c r="I48" s="400">
        <f>SUMIF('Výkaz ziskov a strát'!B:B,B48,'Výkaz ziskov a strát'!K:K)/Units</f>
        <v>0</v>
      </c>
      <c r="K48" s="312" t="str">
        <f t="shared" si="9"/>
        <v xml:space="preserve"> - %</v>
      </c>
      <c r="L48" s="313" t="str">
        <f t="shared" si="9"/>
        <v xml:space="preserve"> - %</v>
      </c>
      <c r="M48" s="313" t="str">
        <f t="shared" si="9"/>
        <v xml:space="preserve"> - %</v>
      </c>
      <c r="N48" s="313" t="str">
        <f t="shared" si="9"/>
        <v xml:space="preserve"> - %</v>
      </c>
      <c r="O48" s="314" t="str">
        <f t="shared" si="9"/>
        <v xml:space="preserve"> - %</v>
      </c>
    </row>
    <row r="49" spans="1:15" ht="11.25" customHeight="1" x14ac:dyDescent="0.2">
      <c r="C49" s="304"/>
      <c r="D49" s="321"/>
      <c r="E49" s="394">
        <f>SUM(E47:E48)</f>
        <v>0</v>
      </c>
      <c r="F49" s="394">
        <f>SUM(F47:F48)</f>
        <v>0</v>
      </c>
      <c r="G49" s="394">
        <f>SUM(G47:G48)</f>
        <v>0</v>
      </c>
      <c r="H49" s="394">
        <f>SUM(H47:H48)</f>
        <v>0</v>
      </c>
      <c r="I49" s="395">
        <f>SUM(I47:I48)</f>
        <v>0</v>
      </c>
      <c r="K49" s="312" t="str">
        <f t="shared" si="9"/>
        <v xml:space="preserve"> - %</v>
      </c>
      <c r="L49" s="313" t="str">
        <f t="shared" si="9"/>
        <v xml:space="preserve"> - %</v>
      </c>
      <c r="M49" s="313" t="str">
        <f t="shared" si="9"/>
        <v xml:space="preserve"> - %</v>
      </c>
      <c r="N49" s="313" t="str">
        <f t="shared" si="9"/>
        <v xml:space="preserve"> - %</v>
      </c>
      <c r="O49" s="314" t="str">
        <f t="shared" si="9"/>
        <v xml:space="preserve"> - %</v>
      </c>
    </row>
    <row r="50" spans="1:15" ht="11.25" customHeight="1" x14ac:dyDescent="0.2">
      <c r="C50" s="404" t="s">
        <v>858</v>
      </c>
      <c r="D50" s="405" t="s">
        <v>853</v>
      </c>
      <c r="E50" s="408">
        <f>+SUM(E34,E35,E39)+E40+E41+E45+E49+E28</f>
        <v>0</v>
      </c>
      <c r="F50" s="408">
        <f t="shared" ref="F50:I50" si="10">+SUM(F34,F35,F39)+F40+F41+F45+F49+F28</f>
        <v>0</v>
      </c>
      <c r="G50" s="408">
        <f t="shared" si="10"/>
        <v>0</v>
      </c>
      <c r="H50" s="408">
        <f t="shared" si="10"/>
        <v>0</v>
      </c>
      <c r="I50" s="409">
        <f t="shared" si="10"/>
        <v>0</v>
      </c>
      <c r="K50" s="331" t="str">
        <f t="shared" si="9"/>
        <v xml:space="preserve"> - %</v>
      </c>
      <c r="L50" s="332" t="str">
        <f t="shared" si="9"/>
        <v xml:space="preserve"> - %</v>
      </c>
      <c r="M50" s="332" t="str">
        <f t="shared" si="9"/>
        <v xml:space="preserve"> - %</v>
      </c>
      <c r="N50" s="332" t="str">
        <f t="shared" si="9"/>
        <v xml:space="preserve"> - %</v>
      </c>
      <c r="O50" s="333" t="str">
        <f t="shared" si="9"/>
        <v xml:space="preserve"> - %</v>
      </c>
    </row>
    <row r="51" spans="1:15" ht="11.25" customHeight="1" x14ac:dyDescent="0.2">
      <c r="B51" s="336"/>
      <c r="C51" s="329" t="s">
        <v>1</v>
      </c>
      <c r="D51" s="338" t="s">
        <v>1</v>
      </c>
      <c r="E51" s="368">
        <f>E25+E50</f>
        <v>0</v>
      </c>
      <c r="F51" s="368">
        <f>F25+F50</f>
        <v>0</v>
      </c>
      <c r="G51" s="368">
        <f>G25+G50</f>
        <v>0</v>
      </c>
      <c r="H51" s="368">
        <f>H25+H50</f>
        <v>0</v>
      </c>
      <c r="I51" s="369">
        <f>I25+I50</f>
        <v>0</v>
      </c>
      <c r="K51" s="324" t="str">
        <f t="shared" si="9"/>
        <v xml:space="preserve"> - %</v>
      </c>
      <c r="L51" s="325" t="str">
        <f t="shared" si="9"/>
        <v xml:space="preserve"> - %</v>
      </c>
      <c r="M51" s="325" t="str">
        <f t="shared" si="9"/>
        <v xml:space="preserve"> - %</v>
      </c>
      <c r="N51" s="325" t="str">
        <f t="shared" si="9"/>
        <v xml:space="preserve"> - %</v>
      </c>
      <c r="O51" s="326" t="str">
        <f t="shared" si="9"/>
        <v xml:space="preserve"> - %</v>
      </c>
    </row>
    <row r="52" spans="1:15" ht="11.25" customHeight="1" x14ac:dyDescent="0.2">
      <c r="C52" s="301" t="s">
        <v>84</v>
      </c>
      <c r="D52" s="317" t="s">
        <v>85</v>
      </c>
      <c r="E52" s="231"/>
      <c r="F52" s="231"/>
      <c r="G52" s="231"/>
      <c r="H52" s="231"/>
      <c r="I52" s="366"/>
      <c r="K52" s="343"/>
      <c r="O52" s="342"/>
    </row>
    <row r="53" spans="1:15" ht="11.25" customHeight="1" x14ac:dyDescent="0.2">
      <c r="B53" s="334">
        <v>35</v>
      </c>
      <c r="C53" s="302" t="s">
        <v>81</v>
      </c>
      <c r="D53" s="318" t="s">
        <v>81</v>
      </c>
      <c r="E53" s="231">
        <f>SUMIF('Výkaz ziskov a strát'!B:B,B53,'Výkaz ziskov a strát'!O:O)/Units</f>
        <v>0</v>
      </c>
      <c r="F53" s="231">
        <f>SUMIF('Výkaz ziskov a strát'!B:B,B53,'Výkaz ziskov a strát'!N:N)/Units</f>
        <v>0</v>
      </c>
      <c r="G53" s="231">
        <f>SUMIF('Výkaz ziskov a strát'!B:B,B53,'Výkaz ziskov a strát'!M:M)/Units</f>
        <v>0</v>
      </c>
      <c r="H53" s="231">
        <f>SUMIF('Výkaz ziskov a strát'!B:B,B53,'Výkaz ziskov a strát'!L:L)/Units</f>
        <v>0</v>
      </c>
      <c r="I53" s="366">
        <f>SUMIF('Výkaz ziskov a strát'!B:B,B53,'Výkaz ziskov a strát'!K:K)/Units</f>
        <v>0</v>
      </c>
      <c r="K53" s="305" t="str">
        <f t="shared" ref="K53:O57" si="11">IFERROR(E53/E$11," - %")</f>
        <v xml:space="preserve"> - %</v>
      </c>
      <c r="L53" s="11" t="str">
        <f t="shared" si="11"/>
        <v xml:space="preserve"> - %</v>
      </c>
      <c r="M53" s="11" t="str">
        <f t="shared" si="11"/>
        <v xml:space="preserve"> - %</v>
      </c>
      <c r="N53" s="11" t="str">
        <f t="shared" si="11"/>
        <v xml:space="preserve"> - %</v>
      </c>
      <c r="O53" s="306" t="str">
        <f t="shared" si="11"/>
        <v xml:space="preserve"> - %</v>
      </c>
    </row>
    <row r="54" spans="1:15" ht="11.25" customHeight="1" x14ac:dyDescent="0.2">
      <c r="B54" s="334">
        <v>36</v>
      </c>
      <c r="C54" s="304" t="s">
        <v>82</v>
      </c>
      <c r="D54" s="321" t="s">
        <v>83</v>
      </c>
      <c r="E54" s="380">
        <f>SUMIF('Výkaz ziskov a strát'!B:B,B54,'Výkaz ziskov a strát'!O:O)/Units</f>
        <v>0</v>
      </c>
      <c r="F54" s="380">
        <f>SUMIF('Výkaz ziskov a strát'!B:B,B54,'Výkaz ziskov a strát'!N:N)/Units</f>
        <v>0</v>
      </c>
      <c r="G54" s="380">
        <f>SUMIF('Výkaz ziskov a strát'!B:B,B54,'Výkaz ziskov a strát'!M:M)/Units</f>
        <v>0</v>
      </c>
      <c r="H54" s="380">
        <f>SUMIF('Výkaz ziskov a strát'!B:B,B54,'Výkaz ziskov a strát'!L:L)/Units</f>
        <v>0</v>
      </c>
      <c r="I54" s="400">
        <f>SUMIF('Výkaz ziskov a strát'!B:B,B54,'Výkaz ziskov a strát'!K:K)/Units</f>
        <v>0</v>
      </c>
      <c r="K54" s="312" t="str">
        <f t="shared" si="11"/>
        <v xml:space="preserve"> - %</v>
      </c>
      <c r="L54" s="313" t="str">
        <f t="shared" si="11"/>
        <v xml:space="preserve"> - %</v>
      </c>
      <c r="M54" s="313" t="str">
        <f t="shared" si="11"/>
        <v xml:space="preserve"> - %</v>
      </c>
      <c r="N54" s="313" t="str">
        <f t="shared" si="11"/>
        <v xml:space="preserve"> - %</v>
      </c>
      <c r="O54" s="314" t="str">
        <f t="shared" si="11"/>
        <v xml:space="preserve"> - %</v>
      </c>
    </row>
    <row r="55" spans="1:15" ht="11.25" customHeight="1" x14ac:dyDescent="0.2">
      <c r="C55" s="322"/>
      <c r="D55" s="323"/>
      <c r="E55" s="368">
        <f>+SUM(E53:E54)</f>
        <v>0</v>
      </c>
      <c r="F55" s="368">
        <f>+SUM(F53:F54)</f>
        <v>0</v>
      </c>
      <c r="G55" s="368">
        <f>+SUM(G53:G54)</f>
        <v>0</v>
      </c>
      <c r="H55" s="368">
        <f>+SUM(H53:H54)</f>
        <v>0</v>
      </c>
      <c r="I55" s="369">
        <f>+SUM(I53:I54)</f>
        <v>0</v>
      </c>
      <c r="J55" s="43"/>
      <c r="K55" s="324" t="str">
        <f t="shared" si="11"/>
        <v xml:space="preserve"> - %</v>
      </c>
      <c r="L55" s="325" t="str">
        <f t="shared" si="11"/>
        <v xml:space="preserve"> - %</v>
      </c>
      <c r="M55" s="325" t="str">
        <f t="shared" si="11"/>
        <v xml:space="preserve"> - %</v>
      </c>
      <c r="N55" s="325" t="str">
        <f t="shared" si="11"/>
        <v xml:space="preserve"> - %</v>
      </c>
      <c r="O55" s="326" t="str">
        <f t="shared" si="11"/>
        <v xml:space="preserve"> - %</v>
      </c>
    </row>
    <row r="56" spans="1:15" ht="11.25" customHeight="1" x14ac:dyDescent="0.2">
      <c r="B56" s="334">
        <v>30</v>
      </c>
      <c r="C56" s="398" t="s">
        <v>31</v>
      </c>
      <c r="D56" s="399" t="s">
        <v>79</v>
      </c>
      <c r="E56" s="380">
        <f>SUMIF('Výkaz ziskov a strát'!B:B,B56,'Výkaz ziskov a strát'!O:O)/Units</f>
        <v>0</v>
      </c>
      <c r="F56" s="380">
        <f>SUMIF('Výkaz ziskov a strát'!B:B,B56,'Výkaz ziskov a strát'!N:N)/Units</f>
        <v>0</v>
      </c>
      <c r="G56" s="380">
        <f>SUMIF('Výkaz ziskov a strát'!B:B,B56,'Výkaz ziskov a strát'!M:M)/Units</f>
        <v>0</v>
      </c>
      <c r="H56" s="380">
        <f>SUMIF('Výkaz ziskov a strát'!B:B,B56,'Výkaz ziskov a strát'!L:L)/Units</f>
        <v>0</v>
      </c>
      <c r="I56" s="400">
        <f>SUMIF('Výkaz ziskov a strát'!B:B,B56,'Výkaz ziskov a strát'!K:K)/Units</f>
        <v>0</v>
      </c>
      <c r="K56" s="312" t="str">
        <f t="shared" si="11"/>
        <v xml:space="preserve"> - %</v>
      </c>
      <c r="L56" s="313" t="str">
        <f t="shared" si="11"/>
        <v xml:space="preserve"> - %</v>
      </c>
      <c r="M56" s="313" t="str">
        <f t="shared" si="11"/>
        <v xml:space="preserve"> - %</v>
      </c>
      <c r="N56" s="313" t="str">
        <f t="shared" si="11"/>
        <v xml:space="preserve"> - %</v>
      </c>
      <c r="O56" s="314" t="str">
        <f t="shared" si="11"/>
        <v xml:space="preserve"> - %</v>
      </c>
    </row>
    <row r="57" spans="1:15" ht="11.25" customHeight="1" x14ac:dyDescent="0.2">
      <c r="C57" s="329" t="s">
        <v>32</v>
      </c>
      <c r="D57" s="338" t="s">
        <v>32</v>
      </c>
      <c r="E57" s="368">
        <f>+E51+E56+E55</f>
        <v>0</v>
      </c>
      <c r="F57" s="368">
        <f>+F51+F56+F55</f>
        <v>0</v>
      </c>
      <c r="G57" s="368">
        <f>+G51+G56+G55</f>
        <v>0</v>
      </c>
      <c r="H57" s="368">
        <f>+H51+H56+H55</f>
        <v>0</v>
      </c>
      <c r="I57" s="369">
        <f>+I51+I56+I55</f>
        <v>0</v>
      </c>
      <c r="K57" s="324" t="str">
        <f t="shared" si="11"/>
        <v xml:space="preserve"> - %</v>
      </c>
      <c r="L57" s="325" t="str">
        <f t="shared" si="11"/>
        <v xml:space="preserve"> - %</v>
      </c>
      <c r="M57" s="325" t="str">
        <f t="shared" si="11"/>
        <v xml:space="preserve"> - %</v>
      </c>
      <c r="N57" s="325" t="str">
        <f t="shared" si="11"/>
        <v xml:space="preserve"> - %</v>
      </c>
      <c r="O57" s="326" t="str">
        <f t="shared" si="11"/>
        <v xml:space="preserve"> - %</v>
      </c>
    </row>
    <row r="58" spans="1:15" ht="11.25" customHeight="1" x14ac:dyDescent="0.2">
      <c r="C58" s="301" t="s">
        <v>33</v>
      </c>
      <c r="D58" s="317" t="s">
        <v>80</v>
      </c>
      <c r="E58" s="231"/>
      <c r="F58" s="231"/>
      <c r="G58" s="231"/>
      <c r="H58" s="231"/>
      <c r="I58" s="366"/>
      <c r="J58" s="5"/>
      <c r="K58" s="343"/>
      <c r="O58" s="342"/>
    </row>
    <row r="59" spans="1:15" ht="11.25" customHeight="1" x14ac:dyDescent="0.2">
      <c r="B59" s="334">
        <v>33</v>
      </c>
      <c r="C59" s="302" t="s">
        <v>81</v>
      </c>
      <c r="D59" s="318" t="s">
        <v>81</v>
      </c>
      <c r="E59" s="231">
        <f>SUMIF('Výkaz ziskov a strát'!B:B,B59,'Výkaz ziskov a strát'!O:O)/Units</f>
        <v>0</v>
      </c>
      <c r="F59" s="231">
        <f>SUMIF('Výkaz ziskov a strát'!B:B,B59,'Výkaz ziskov a strát'!N:N)/Units</f>
        <v>0</v>
      </c>
      <c r="G59" s="231">
        <f>SUMIF('Výkaz ziskov a strát'!B:B,B59,'Výkaz ziskov a strát'!M:M)/Units</f>
        <v>0</v>
      </c>
      <c r="H59" s="231">
        <f>SUMIF('Výkaz ziskov a strát'!B:B,B59,'Výkaz ziskov a strát'!L:L)/Units</f>
        <v>0</v>
      </c>
      <c r="I59" s="366">
        <f>SUMIF('Výkaz ziskov a strát'!B:B,B59,'Výkaz ziskov a strát'!K:K)/Units</f>
        <v>0</v>
      </c>
      <c r="K59" s="305" t="str">
        <f t="shared" ref="K59:O63" si="12">IFERROR(E59/E$11," - %")</f>
        <v xml:space="preserve"> - %</v>
      </c>
      <c r="L59" s="11" t="str">
        <f t="shared" si="12"/>
        <v xml:space="preserve"> - %</v>
      </c>
      <c r="M59" s="11" t="str">
        <f t="shared" si="12"/>
        <v xml:space="preserve"> - %</v>
      </c>
      <c r="N59" s="11" t="str">
        <f t="shared" si="12"/>
        <v xml:space="preserve"> - %</v>
      </c>
      <c r="O59" s="306" t="str">
        <f t="shared" si="12"/>
        <v xml:space="preserve"> - %</v>
      </c>
    </row>
    <row r="60" spans="1:15" ht="11.25" customHeight="1" x14ac:dyDescent="0.2">
      <c r="B60" s="334">
        <v>34</v>
      </c>
      <c r="C60" s="304" t="s">
        <v>82</v>
      </c>
      <c r="D60" s="321" t="s">
        <v>83</v>
      </c>
      <c r="E60" s="380">
        <f>SUMIF('Výkaz ziskov a strát'!B:B,B60,'Výkaz ziskov a strát'!O:O)/Units</f>
        <v>0</v>
      </c>
      <c r="F60" s="380">
        <f>SUMIF('Výkaz ziskov a strát'!B:B,B60,'Výkaz ziskov a strát'!N:N)/Units</f>
        <v>0</v>
      </c>
      <c r="G60" s="380">
        <f>SUMIF('Výkaz ziskov a strát'!B:B,B60,'Výkaz ziskov a strát'!M:M)/Units</f>
        <v>0</v>
      </c>
      <c r="H60" s="380">
        <f>SUMIF('Výkaz ziskov a strát'!B:B,B60,'Výkaz ziskov a strát'!L:L)/Units</f>
        <v>0</v>
      </c>
      <c r="I60" s="400">
        <f>SUMIF('Výkaz ziskov a strát'!B:B,B60,'Výkaz ziskov a strát'!K:K)/Units</f>
        <v>0</v>
      </c>
      <c r="K60" s="312" t="str">
        <f t="shared" si="12"/>
        <v xml:space="preserve"> - %</v>
      </c>
      <c r="L60" s="313" t="str">
        <f t="shared" si="12"/>
        <v xml:space="preserve"> - %</v>
      </c>
      <c r="M60" s="313" t="str">
        <f t="shared" si="12"/>
        <v xml:space="preserve"> - %</v>
      </c>
      <c r="N60" s="313" t="str">
        <f t="shared" si="12"/>
        <v xml:space="preserve"> - %</v>
      </c>
      <c r="O60" s="314" t="str">
        <f t="shared" si="12"/>
        <v xml:space="preserve"> - %</v>
      </c>
    </row>
    <row r="61" spans="1:15" s="54" customFormat="1" ht="11.25" customHeight="1" x14ac:dyDescent="0.2">
      <c r="A61" s="461"/>
      <c r="B61" s="337"/>
      <c r="C61" s="322"/>
      <c r="D61" s="323"/>
      <c r="E61" s="368">
        <f>+SUM(E59:E60)</f>
        <v>0</v>
      </c>
      <c r="F61" s="368">
        <f>+SUM(F59:F60)</f>
        <v>0</v>
      </c>
      <c r="G61" s="368">
        <f>+SUM(G59:G60)</f>
        <v>0</v>
      </c>
      <c r="H61" s="368">
        <f>+SUM(H59:H60)</f>
        <v>0</v>
      </c>
      <c r="I61" s="369">
        <f>+SUM(I59:I60)</f>
        <v>0</v>
      </c>
      <c r="J61" s="43"/>
      <c r="K61" s="324" t="str">
        <f t="shared" si="12"/>
        <v xml:space="preserve"> - %</v>
      </c>
      <c r="L61" s="325" t="str">
        <f t="shared" si="12"/>
        <v xml:space="preserve"> - %</v>
      </c>
      <c r="M61" s="325" t="str">
        <f t="shared" si="12"/>
        <v xml:space="preserve"> - %</v>
      </c>
      <c r="N61" s="325" t="str">
        <f t="shared" si="12"/>
        <v xml:space="preserve"> - %</v>
      </c>
      <c r="O61" s="326" t="str">
        <f t="shared" si="12"/>
        <v xml:space="preserve"> - %</v>
      </c>
    </row>
    <row r="62" spans="1:15" ht="11.25" customHeight="1" x14ac:dyDescent="0.2">
      <c r="B62" s="334">
        <v>39</v>
      </c>
      <c r="C62" s="399" t="s">
        <v>34</v>
      </c>
      <c r="D62" s="399" t="s">
        <v>680</v>
      </c>
      <c r="E62" s="380">
        <f>SUMIF('Výkaz ziskov a strát'!B:B,B62,'Výkaz ziskov a strát'!O:O)/Units</f>
        <v>0</v>
      </c>
      <c r="F62" s="380">
        <f>SUMIF('Výkaz ziskov a strát'!B:B,B62,'Výkaz ziskov a strát'!N:N)/Units</f>
        <v>0</v>
      </c>
      <c r="G62" s="380">
        <f>SUMIF('Výkaz ziskov a strát'!B:B,B62,'Výkaz ziskov a strát'!M:M)/Units</f>
        <v>0</v>
      </c>
      <c r="H62" s="380">
        <f>SUMIF('Výkaz ziskov a strát'!B:B,B62,'Výkaz ziskov a strát'!L:L)/Units</f>
        <v>0</v>
      </c>
      <c r="I62" s="400">
        <f>SUMIF('Výkaz ziskov a strát'!B:B,B62,'Výkaz ziskov a strát'!K:K)/Units</f>
        <v>0</v>
      </c>
      <c r="K62" s="312" t="str">
        <f t="shared" si="12"/>
        <v xml:space="preserve"> - %</v>
      </c>
      <c r="L62" s="313" t="str">
        <f t="shared" si="12"/>
        <v xml:space="preserve"> - %</v>
      </c>
      <c r="M62" s="313" t="str">
        <f t="shared" si="12"/>
        <v xml:space="preserve"> - %</v>
      </c>
      <c r="N62" s="313" t="str">
        <f t="shared" si="12"/>
        <v xml:space="preserve"> - %</v>
      </c>
      <c r="O62" s="314" t="str">
        <f t="shared" si="12"/>
        <v xml:space="preserve"> - %</v>
      </c>
    </row>
    <row r="63" spans="1:15" ht="11.25" customHeight="1" x14ac:dyDescent="0.2">
      <c r="C63" s="329" t="s">
        <v>35</v>
      </c>
      <c r="D63" s="338" t="s">
        <v>35</v>
      </c>
      <c r="E63" s="368">
        <f>E57+E61+E62</f>
        <v>0</v>
      </c>
      <c r="F63" s="368">
        <f>F57+F61+F62</f>
        <v>0</v>
      </c>
      <c r="G63" s="368">
        <f>G57+G61+G62</f>
        <v>0</v>
      </c>
      <c r="H63" s="368">
        <f>H57+H61+H62</f>
        <v>0</v>
      </c>
      <c r="I63" s="368">
        <f>I57+I61+I62</f>
        <v>0</v>
      </c>
      <c r="J63" s="355"/>
      <c r="K63" s="325" t="str">
        <f t="shared" si="12"/>
        <v xml:space="preserve"> - %</v>
      </c>
      <c r="L63" s="325" t="str">
        <f t="shared" si="12"/>
        <v xml:space="preserve"> - %</v>
      </c>
      <c r="M63" s="325" t="str">
        <f t="shared" si="12"/>
        <v xml:space="preserve"> - %</v>
      </c>
      <c r="N63" s="325" t="str">
        <f t="shared" si="12"/>
        <v xml:space="preserve"> - %</v>
      </c>
      <c r="O63" s="326" t="str">
        <f t="shared" si="12"/>
        <v xml:space="preserve"> - %</v>
      </c>
    </row>
    <row r="64" spans="1:15" ht="11.25" customHeight="1" x14ac:dyDescent="0.2">
      <c r="C64" s="301" t="s">
        <v>2</v>
      </c>
      <c r="D64" s="317" t="s">
        <v>635</v>
      </c>
      <c r="E64" s="231"/>
      <c r="F64" s="231"/>
      <c r="G64" s="231"/>
      <c r="H64" s="231"/>
      <c r="I64" s="231"/>
      <c r="J64" s="356"/>
    </row>
    <row r="65" spans="1:15" ht="11.25" customHeight="1" x14ac:dyDescent="0.2">
      <c r="B65" s="334">
        <v>40</v>
      </c>
      <c r="C65" s="302" t="s">
        <v>88</v>
      </c>
      <c r="D65" s="318" t="s">
        <v>854</v>
      </c>
      <c r="E65" s="231">
        <f>SUMIF('Výkaz ziskov a strát'!B:B,B65,'Výkaz ziskov a strát'!O:O)/Units</f>
        <v>0</v>
      </c>
      <c r="F65" s="231">
        <f>SUMIF('Výkaz ziskov a strát'!B:B,B65,'Výkaz ziskov a strát'!N:N)/Units</f>
        <v>0</v>
      </c>
      <c r="G65" s="231">
        <f>SUMIF('Výkaz ziskov a strát'!B:B,B65,'Výkaz ziskov a strát'!M:M)/Units</f>
        <v>0</v>
      </c>
      <c r="H65" s="231">
        <f>SUMIF('Výkaz ziskov a strát'!B:B,B65,'Výkaz ziskov a strát'!L:L)/Units</f>
        <v>0</v>
      </c>
      <c r="I65" s="231">
        <f>SUMIF('Výkaz ziskov a strát'!B:B,B65,'Výkaz ziskov a strát'!K:K)/Units</f>
        <v>0</v>
      </c>
      <c r="J65" s="355"/>
      <c r="K65" s="11" t="str">
        <f t="shared" ref="K65:O68" si="13">IFERROR(E65/E$11," - %")</f>
        <v xml:space="preserve"> - %</v>
      </c>
      <c r="L65" s="11" t="str">
        <f t="shared" si="13"/>
        <v xml:space="preserve"> - %</v>
      </c>
      <c r="M65" s="11" t="str">
        <f t="shared" si="13"/>
        <v xml:space="preserve"> - %</v>
      </c>
      <c r="N65" s="11" t="str">
        <f t="shared" si="13"/>
        <v xml:space="preserve"> - %</v>
      </c>
      <c r="O65" s="306" t="str">
        <f t="shared" si="13"/>
        <v xml:space="preserve"> - %</v>
      </c>
    </row>
    <row r="66" spans="1:15" ht="11.25" customHeight="1" x14ac:dyDescent="0.2">
      <c r="B66" s="334">
        <v>41</v>
      </c>
      <c r="C66" s="304" t="s">
        <v>89</v>
      </c>
      <c r="D66" s="321" t="s">
        <v>90</v>
      </c>
      <c r="E66" s="380">
        <f>SUMIF('Výkaz ziskov a strát'!B:B,B66,'Výkaz ziskov a strát'!O:O)/Units</f>
        <v>0</v>
      </c>
      <c r="F66" s="380">
        <f>SUMIF('Výkaz ziskov a strát'!B:B,B66,'Výkaz ziskov a strát'!N:N)/Units</f>
        <v>0</v>
      </c>
      <c r="G66" s="380">
        <f>SUMIF('Výkaz ziskov a strát'!B:B,B66,'Výkaz ziskov a strát'!M:M)/Units</f>
        <v>0</v>
      </c>
      <c r="H66" s="380">
        <f>SUMIF('Výkaz ziskov a strát'!B:B,B66,'Výkaz ziskov a strát'!L:L)/Units</f>
        <v>0</v>
      </c>
      <c r="I66" s="400">
        <f>SUMIF('Výkaz ziskov a strát'!B:B,B66,'Výkaz ziskov a strát'!K:K)/Units</f>
        <v>0</v>
      </c>
      <c r="J66" s="355"/>
      <c r="K66" s="313" t="str">
        <f t="shared" si="13"/>
        <v xml:space="preserve"> - %</v>
      </c>
      <c r="L66" s="313" t="str">
        <f t="shared" si="13"/>
        <v xml:space="preserve"> - %</v>
      </c>
      <c r="M66" s="313" t="str">
        <f t="shared" si="13"/>
        <v xml:space="preserve"> - %</v>
      </c>
      <c r="N66" s="313" t="str">
        <f t="shared" si="13"/>
        <v xml:space="preserve"> - %</v>
      </c>
      <c r="O66" s="314" t="str">
        <f t="shared" si="13"/>
        <v xml:space="preserve"> - %</v>
      </c>
    </row>
    <row r="67" spans="1:15" s="54" customFormat="1" ht="11.25" customHeight="1" x14ac:dyDescent="0.2">
      <c r="A67" s="461"/>
      <c r="B67" s="337"/>
      <c r="C67" s="384"/>
      <c r="D67" s="403"/>
      <c r="E67" s="394">
        <f>SUM(E65:E66)</f>
        <v>0</v>
      </c>
      <c r="F67" s="394">
        <f>SUM(F65:F66)</f>
        <v>0</v>
      </c>
      <c r="G67" s="394">
        <f>SUM(G65:G66)</f>
        <v>0</v>
      </c>
      <c r="H67" s="394">
        <f>SUM(H65:H66)</f>
        <v>0</v>
      </c>
      <c r="I67" s="395">
        <f>SUM(I65:I66)</f>
        <v>0</v>
      </c>
      <c r="J67" s="43"/>
      <c r="K67" s="331" t="str">
        <f t="shared" si="13"/>
        <v xml:space="preserve"> - %</v>
      </c>
      <c r="L67" s="332" t="str">
        <f t="shared" si="13"/>
        <v xml:space="preserve"> - %</v>
      </c>
      <c r="M67" s="332" t="str">
        <f t="shared" si="13"/>
        <v xml:space="preserve"> - %</v>
      </c>
      <c r="N67" s="332" t="str">
        <f t="shared" si="13"/>
        <v xml:space="preserve"> - %</v>
      </c>
      <c r="O67" s="333" t="str">
        <f t="shared" si="13"/>
        <v xml:space="preserve"> - %</v>
      </c>
    </row>
    <row r="68" spans="1:15" ht="11.25" customHeight="1" thickBot="1" x14ac:dyDescent="0.25">
      <c r="B68" s="336"/>
      <c r="C68" s="353" t="s">
        <v>91</v>
      </c>
      <c r="D68" s="354" t="s">
        <v>92</v>
      </c>
      <c r="E68" s="372">
        <f>E63+E67</f>
        <v>0</v>
      </c>
      <c r="F68" s="372">
        <f>F63+F67</f>
        <v>0</v>
      </c>
      <c r="G68" s="372">
        <f>G63+G67</f>
        <v>0</v>
      </c>
      <c r="H68" s="372">
        <f>H63+H67</f>
        <v>0</v>
      </c>
      <c r="I68" s="373">
        <f>I63+I67</f>
        <v>0</v>
      </c>
      <c r="K68" s="419" t="str">
        <f t="shared" si="13"/>
        <v xml:space="preserve"> - %</v>
      </c>
      <c r="L68" s="420" t="str">
        <f t="shared" si="13"/>
        <v xml:space="preserve"> - %</v>
      </c>
      <c r="M68" s="420" t="str">
        <f t="shared" si="13"/>
        <v xml:space="preserve"> - %</v>
      </c>
      <c r="N68" s="420" t="str">
        <f t="shared" si="13"/>
        <v xml:space="preserve"> - %</v>
      </c>
      <c r="O68" s="421" t="str">
        <f t="shared" si="13"/>
        <v xml:space="preserve"> - %</v>
      </c>
    </row>
    <row r="69" spans="1:15" ht="12" customHeight="1" x14ac:dyDescent="0.2"/>
    <row r="70" spans="1:15" s="2" customFormat="1" ht="11.25" x14ac:dyDescent="0.2">
      <c r="A70" s="273"/>
      <c r="C70" s="2" t="s">
        <v>860</v>
      </c>
      <c r="D70" s="2" t="s">
        <v>860</v>
      </c>
      <c r="E70" s="187">
        <f>('Výkaz ziskov a strát'!J64/Units)-'Detailné výkazy'!E68</f>
        <v>0</v>
      </c>
      <c r="F70" s="187">
        <f>'Výkaz ziskov a strát'!I64/Units-'Detailné výkazy'!F68</f>
        <v>0</v>
      </c>
      <c r="G70" s="187">
        <f>'Výkaz ziskov a strát'!H64/Units-'Detailné výkazy'!G68</f>
        <v>0</v>
      </c>
      <c r="H70" s="187">
        <f>'Výkaz ziskov a strát'!G64/Units-'Detailné výkazy'!H68</f>
        <v>0</v>
      </c>
      <c r="I70" s="187">
        <f>'Výkaz ziskov a strát'!F64/Units-'Detailné výkazy'!I68</f>
        <v>0</v>
      </c>
    </row>
    <row r="71" spans="1:15" ht="11.25" customHeight="1" x14ac:dyDescent="0.2">
      <c r="C71" s="15"/>
      <c r="E71" s="16"/>
      <c r="F71" s="16"/>
      <c r="G71" s="16"/>
      <c r="H71" s="16"/>
      <c r="I71" s="16"/>
      <c r="J71" s="1"/>
      <c r="K71" s="14"/>
      <c r="L71" s="14"/>
      <c r="M71" s="14"/>
    </row>
    <row r="72" spans="1:15" ht="19.5" customHeight="1" x14ac:dyDescent="0.2">
      <c r="B72" s="336"/>
      <c r="C72" s="328" t="s">
        <v>3</v>
      </c>
      <c r="D72" s="298" t="s">
        <v>93</v>
      </c>
      <c r="E72" s="298"/>
      <c r="F72" s="298"/>
      <c r="G72" s="298"/>
      <c r="H72" s="298"/>
      <c r="I72" s="299"/>
      <c r="K72" s="17"/>
      <c r="L72" s="18"/>
      <c r="M72" s="18"/>
    </row>
    <row r="73" spans="1:15" ht="11.25" customHeight="1" x14ac:dyDescent="0.2">
      <c r="B73" s="336"/>
      <c r="C73" s="344" t="str">
        <f>C7</f>
        <v xml:space="preserve">€  </v>
      </c>
      <c r="D73" s="345" t="str">
        <f>C7</f>
        <v xml:space="preserve">€  </v>
      </c>
      <c r="E73" s="346" t="str">
        <f>E7</f>
        <v>FY19</v>
      </c>
      <c r="F73" s="346" t="str">
        <f>F7</f>
        <v>FY20</v>
      </c>
      <c r="G73" s="346" t="str">
        <f>G7</f>
        <v>FY21</v>
      </c>
      <c r="H73" s="346" t="str">
        <f>H7</f>
        <v>FY22</v>
      </c>
      <c r="I73" s="347" t="str">
        <f>I7</f>
        <v>FY23</v>
      </c>
      <c r="K73" s="17"/>
      <c r="L73" s="18"/>
      <c r="M73" s="18"/>
    </row>
    <row r="74" spans="1:15" ht="11.25" customHeight="1" x14ac:dyDescent="0.2">
      <c r="C74" s="301" t="s">
        <v>4</v>
      </c>
      <c r="D74" s="348" t="s">
        <v>94</v>
      </c>
      <c r="E74" s="231"/>
      <c r="F74" s="231"/>
      <c r="G74" s="231"/>
      <c r="H74" s="231"/>
      <c r="I74" s="366"/>
      <c r="K74" s="19"/>
      <c r="L74" s="19"/>
      <c r="M74" s="19"/>
    </row>
    <row r="75" spans="1:15" ht="11.25" customHeight="1" x14ac:dyDescent="0.2">
      <c r="B75" s="334">
        <v>50</v>
      </c>
      <c r="C75" s="349" t="s">
        <v>95</v>
      </c>
      <c r="D75" s="350" t="s">
        <v>96</v>
      </c>
      <c r="E75" s="365">
        <f>SUMIF(Aktíva!B:B,B75,Aktíva!J:J)/Units</f>
        <v>0</v>
      </c>
      <c r="F75" s="231">
        <f>SUMIF(Aktíva!B:B,B75,Aktíva!I:I)/Units</f>
        <v>0</v>
      </c>
      <c r="G75" s="231">
        <f>SUMIF(Aktíva!B:B,B75,Aktíva!H:H)/Units</f>
        <v>0</v>
      </c>
      <c r="H75" s="231">
        <f>SUMIF(Aktíva!B:B,B75,Aktíva!G:G)/Units</f>
        <v>0</v>
      </c>
      <c r="I75" s="366">
        <f>SUMIF(Aktíva!B:B,B75,Aktíva!F:F)/Units</f>
        <v>0</v>
      </c>
      <c r="K75" s="19"/>
      <c r="L75" s="19"/>
      <c r="M75" s="19"/>
    </row>
    <row r="76" spans="1:15" ht="11.25" customHeight="1" x14ac:dyDescent="0.2">
      <c r="B76" s="334">
        <v>51</v>
      </c>
      <c r="C76" s="349" t="s">
        <v>97</v>
      </c>
      <c r="D76" s="350" t="s">
        <v>98</v>
      </c>
      <c r="E76" s="365">
        <f>SUMIF(Aktíva!B:B,B76,Aktíva!J:J)/Units</f>
        <v>0</v>
      </c>
      <c r="F76" s="231">
        <f>SUMIF(Aktíva!B:B,B76,Aktíva!I:I)/Units</f>
        <v>0</v>
      </c>
      <c r="G76" s="231">
        <f>SUMIF(Aktíva!B:B,B76,Aktíva!H:H)/Units</f>
        <v>0</v>
      </c>
      <c r="H76" s="231">
        <f>SUMIF(Aktíva!B:B,B76,Aktíva!G:G)/Units</f>
        <v>0</v>
      </c>
      <c r="I76" s="366">
        <f>SUMIF(Aktíva!B:B,B76,Aktíva!F:F)/Units</f>
        <v>0</v>
      </c>
      <c r="K76" s="19"/>
      <c r="L76" s="19"/>
      <c r="M76" s="19"/>
    </row>
    <row r="77" spans="1:15" ht="11.25" customHeight="1" x14ac:dyDescent="0.2">
      <c r="B77" s="334">
        <v>52</v>
      </c>
      <c r="C77" s="349" t="s">
        <v>99</v>
      </c>
      <c r="D77" s="350" t="s">
        <v>100</v>
      </c>
      <c r="E77" s="365">
        <f>SUMIF(Aktíva!B:B,B77,Aktíva!J:J)/Units</f>
        <v>0</v>
      </c>
      <c r="F77" s="231">
        <f>SUMIF(Aktíva!B:B,B77,Aktíva!I:I)/Units</f>
        <v>0</v>
      </c>
      <c r="G77" s="231">
        <f>SUMIF(Aktíva!B:B,B77,Aktíva!H:H)/Units</f>
        <v>0</v>
      </c>
      <c r="H77" s="231">
        <f>SUMIF(Aktíva!B:B,B77,Aktíva!G:G)/Units</f>
        <v>0</v>
      </c>
      <c r="I77" s="366">
        <f>SUMIF(Aktíva!B:B,B77,Aktíva!F:F)/Units</f>
        <v>0</v>
      </c>
      <c r="K77" s="19"/>
      <c r="L77" s="19"/>
      <c r="M77" s="19"/>
    </row>
    <row r="78" spans="1:15" ht="11.25" customHeight="1" x14ac:dyDescent="0.2">
      <c r="B78" s="334">
        <v>59</v>
      </c>
      <c r="C78" s="349" t="s">
        <v>101</v>
      </c>
      <c r="D78" s="350" t="s">
        <v>102</v>
      </c>
      <c r="E78" s="365">
        <f>SUMIF(Aktíva!B:B,B78,Aktíva!J:J)/Units</f>
        <v>0</v>
      </c>
      <c r="F78" s="231">
        <f>SUMIF(Aktíva!B:B,B78,Aktíva!I:I)/Units</f>
        <v>0</v>
      </c>
      <c r="G78" s="231">
        <f>SUMIF(Aktíva!B:B,B78,Aktíva!H:H)/Units</f>
        <v>0</v>
      </c>
      <c r="H78" s="231">
        <f>SUMIF(Aktíva!B:B,B78,Aktíva!G:G)/Units</f>
        <v>0</v>
      </c>
      <c r="I78" s="366">
        <f>SUMIF(Aktíva!B:B,B78,Aktíva!F:F)/Units</f>
        <v>0</v>
      </c>
      <c r="K78" s="19"/>
      <c r="L78" s="19"/>
      <c r="M78" s="19"/>
    </row>
    <row r="79" spans="1:15" ht="11.25" customHeight="1" x14ac:dyDescent="0.2">
      <c r="B79" s="334">
        <v>53</v>
      </c>
      <c r="C79" s="410" t="s">
        <v>103</v>
      </c>
      <c r="D79" s="411" t="s">
        <v>104</v>
      </c>
      <c r="E79" s="412">
        <f>SUMIF(Aktíva!B:B,B79,Aktíva!J:J)/Units</f>
        <v>0</v>
      </c>
      <c r="F79" s="380">
        <f>SUMIF(Aktíva!B:B,B79,Aktíva!I:I)/Units</f>
        <v>0</v>
      </c>
      <c r="G79" s="380">
        <f>SUMIF(Aktíva!B:B,B79,Aktíva!H:H)/Units</f>
        <v>0</v>
      </c>
      <c r="H79" s="380">
        <f>SUMIF(Aktíva!B:B,B79,Aktíva!G:G)/Units</f>
        <v>0</v>
      </c>
      <c r="I79" s="400">
        <f>SUMIF(Aktíva!B:B,B79,Aktíva!F:F)/Units</f>
        <v>0</v>
      </c>
      <c r="K79" s="19"/>
      <c r="L79" s="19"/>
      <c r="M79" s="19"/>
    </row>
    <row r="80" spans="1:15" ht="11.25" customHeight="1" x14ac:dyDescent="0.2">
      <c r="C80" s="349"/>
      <c r="D80" s="350"/>
      <c r="E80" s="367">
        <f>SUM(E75:E79)</f>
        <v>0</v>
      </c>
      <c r="F80" s="368">
        <f>SUM(F75:F79)</f>
        <v>0</v>
      </c>
      <c r="G80" s="368">
        <f>SUM(G75:G79)</f>
        <v>0</v>
      </c>
      <c r="H80" s="368">
        <f>SUM(H75:H79)</f>
        <v>0</v>
      </c>
      <c r="I80" s="369">
        <f>SUM(I75:I79)</f>
        <v>0</v>
      </c>
      <c r="K80" s="19"/>
      <c r="L80" s="19"/>
      <c r="M80" s="19"/>
    </row>
    <row r="81" spans="1:13" ht="11.25" customHeight="1" x14ac:dyDescent="0.2">
      <c r="C81" s="301" t="s">
        <v>105</v>
      </c>
      <c r="D81" s="348" t="s">
        <v>106</v>
      </c>
      <c r="E81" s="231"/>
      <c r="F81" s="231"/>
      <c r="G81" s="231"/>
      <c r="H81" s="231"/>
      <c r="I81" s="366"/>
      <c r="J81" s="7"/>
      <c r="K81" s="19"/>
      <c r="L81" s="19"/>
      <c r="M81" s="19"/>
    </row>
    <row r="82" spans="1:13" ht="11.25" customHeight="1" x14ac:dyDescent="0.2">
      <c r="B82" s="334">
        <v>54</v>
      </c>
      <c r="C82" s="349" t="s">
        <v>107</v>
      </c>
      <c r="D82" s="350" t="s">
        <v>107</v>
      </c>
      <c r="E82" s="365">
        <f>SUMIF(Aktíva!B:B,B82,Aktíva!J:J)/Units</f>
        <v>0</v>
      </c>
      <c r="F82" s="231">
        <f>SUMIF(Aktíva!B:B,B82,Aktíva!I:I)/Units</f>
        <v>0</v>
      </c>
      <c r="G82" s="231">
        <f>SUMIF(Aktíva!B:B,B82,Aktíva!H:H)/Units</f>
        <v>0</v>
      </c>
      <c r="H82" s="231">
        <f>SUMIF(Aktíva!B:B,B82,Aktíva!G:G)/Units</f>
        <v>0</v>
      </c>
      <c r="I82" s="366">
        <f>SUMIF(Aktíva!B:B,B82,Aktíva!F:F)/Units</f>
        <v>0</v>
      </c>
      <c r="K82" s="20"/>
      <c r="L82" s="18"/>
      <c r="M82" s="18"/>
    </row>
    <row r="83" spans="1:13" ht="11.25" customHeight="1" x14ac:dyDescent="0.2">
      <c r="B83" s="334">
        <v>55</v>
      </c>
      <c r="C83" s="349" t="s">
        <v>108</v>
      </c>
      <c r="D83" s="350" t="s">
        <v>109</v>
      </c>
      <c r="E83" s="365">
        <f>SUMIF(Aktíva!B:B,B83,Aktíva!J:J)/Units</f>
        <v>0</v>
      </c>
      <c r="F83" s="231">
        <f>SUMIF(Aktíva!B:B,B83,Aktíva!I:I)/Units</f>
        <v>0</v>
      </c>
      <c r="G83" s="231">
        <f>SUMIF(Aktíva!B:B,B83,Aktíva!H:H)/Units</f>
        <v>0</v>
      </c>
      <c r="H83" s="231">
        <f>SUMIF(Aktíva!B:B,B83,Aktíva!G:G)/Units</f>
        <v>0</v>
      </c>
      <c r="I83" s="366">
        <f>SUMIF(Aktíva!B:B,B83,Aktíva!F:F)/Units</f>
        <v>0</v>
      </c>
      <c r="K83" s="20"/>
      <c r="L83" s="18"/>
      <c r="M83" s="18"/>
    </row>
    <row r="84" spans="1:13" ht="11.25" customHeight="1" x14ac:dyDescent="0.2">
      <c r="B84" s="334">
        <v>56</v>
      </c>
      <c r="C84" s="410" t="s">
        <v>110</v>
      </c>
      <c r="D84" s="411" t="s">
        <v>110</v>
      </c>
      <c r="E84" s="412">
        <f>SUMIF(Aktíva!B:B,B84,Aktíva!J:J)/Units</f>
        <v>0</v>
      </c>
      <c r="F84" s="380">
        <f>SUMIF(Aktíva!B:B,B84,Aktíva!I:I)/Units</f>
        <v>0</v>
      </c>
      <c r="G84" s="380">
        <f>SUMIF(Aktíva!B:B,B84,Aktíva!H:H)/Units</f>
        <v>0</v>
      </c>
      <c r="H84" s="380">
        <f>SUMIF(Aktíva!B:B,B84,Aktíva!G:G)/Units</f>
        <v>0</v>
      </c>
      <c r="I84" s="400">
        <f>SUMIF(Aktíva!B:B,B84,Aktíva!F:F)/Units</f>
        <v>0</v>
      </c>
      <c r="K84" s="20"/>
      <c r="L84" s="18"/>
      <c r="M84" s="18"/>
    </row>
    <row r="85" spans="1:13" s="54" customFormat="1" ht="11.25" customHeight="1" x14ac:dyDescent="0.2">
      <c r="A85" s="461"/>
      <c r="B85" s="337"/>
      <c r="C85" s="357"/>
      <c r="D85" s="358"/>
      <c r="E85" s="367">
        <f>SUM(E82:E84)</f>
        <v>0</v>
      </c>
      <c r="F85" s="368">
        <f>SUM(F82:F84)</f>
        <v>0</v>
      </c>
      <c r="G85" s="368">
        <f>SUM(G82:G84)</f>
        <v>0</v>
      </c>
      <c r="H85" s="368">
        <f>SUM(H82:H84)</f>
        <v>0</v>
      </c>
      <c r="I85" s="369">
        <f>SUM(I82:I84)</f>
        <v>0</v>
      </c>
      <c r="J85" s="43"/>
      <c r="K85" s="359"/>
      <c r="L85" s="360"/>
      <c r="M85" s="360"/>
    </row>
    <row r="86" spans="1:13" ht="11.25" customHeight="1" x14ac:dyDescent="0.2">
      <c r="B86" s="334">
        <v>58</v>
      </c>
      <c r="C86" s="300" t="s">
        <v>6</v>
      </c>
      <c r="D86" s="361" t="s">
        <v>111</v>
      </c>
      <c r="E86" s="367">
        <f>SUMIF(Aktíva!B:B,B86,Aktíva!J:J)/Units</f>
        <v>0</v>
      </c>
      <c r="F86" s="368">
        <f>SUMIF(Aktíva!B:B,B86,Aktíva!I:I)/Units</f>
        <v>0</v>
      </c>
      <c r="G86" s="368">
        <f>SUMIF(Aktíva!B:B,B86,Aktíva!H:H)/Units</f>
        <v>0</v>
      </c>
      <c r="H86" s="368">
        <f>SUMIF(Aktíva!B:B,B86,Aktíva!G:G)/Units</f>
        <v>0</v>
      </c>
      <c r="I86" s="369">
        <f>SUMIF(Aktíva!B:B,B86,Aktíva!F:F)/Units</f>
        <v>0</v>
      </c>
      <c r="J86" s="7"/>
      <c r="K86" s="19"/>
      <c r="L86" s="19"/>
      <c r="M86" s="19"/>
    </row>
    <row r="87" spans="1:13" ht="11.25" customHeight="1" x14ac:dyDescent="0.2">
      <c r="B87" s="334">
        <v>60</v>
      </c>
      <c r="C87" s="300" t="s">
        <v>112</v>
      </c>
      <c r="D87" s="361" t="s">
        <v>113</v>
      </c>
      <c r="E87" s="367">
        <f>SUMIF(Aktíva!B:B,B87,Aktíva!J:J)/Units</f>
        <v>0</v>
      </c>
      <c r="F87" s="368">
        <f>SUMIF(Aktíva!B:B,B87,Aktíva!I:I)/Units</f>
        <v>0</v>
      </c>
      <c r="G87" s="368">
        <f>SUMIF(Aktíva!B:B,B87,Aktíva!H:H)/Units</f>
        <v>0</v>
      </c>
      <c r="H87" s="368">
        <f>SUMIF(Aktíva!B:B,B87,Aktíva!G:G)/Units</f>
        <v>0</v>
      </c>
      <c r="I87" s="369">
        <f>SUMIF(Aktíva!B:B,B87,Aktíva!F:F)/Units</f>
        <v>0</v>
      </c>
      <c r="K87" s="19"/>
      <c r="L87" s="19"/>
      <c r="M87" s="19"/>
    </row>
    <row r="88" spans="1:13" ht="11.25" customHeight="1" x14ac:dyDescent="0.2">
      <c r="C88" s="301" t="s">
        <v>114</v>
      </c>
      <c r="D88" s="348" t="s">
        <v>115</v>
      </c>
      <c r="E88" s="231"/>
      <c r="F88" s="231"/>
      <c r="G88" s="231"/>
      <c r="H88" s="231"/>
      <c r="I88" s="366"/>
      <c r="K88" s="19"/>
      <c r="L88" s="19"/>
      <c r="M88" s="19"/>
    </row>
    <row r="89" spans="1:13" ht="11.25" customHeight="1" x14ac:dyDescent="0.2">
      <c r="B89" s="334">
        <v>61</v>
      </c>
      <c r="C89" s="349" t="s">
        <v>7</v>
      </c>
      <c r="D89" s="350" t="s">
        <v>116</v>
      </c>
      <c r="E89" s="365">
        <f>SUMIF(Aktíva!B:B,B89,Aktíva!J:J)/Units</f>
        <v>0</v>
      </c>
      <c r="F89" s="231">
        <f>SUMIF(Aktíva!B:B,B89,Aktíva!I:I)/Units</f>
        <v>0</v>
      </c>
      <c r="G89" s="231">
        <f>SUMIF(Aktíva!B:B,B89,Aktíva!H:H)/Units</f>
        <v>0</v>
      </c>
      <c r="H89" s="231">
        <f>SUMIF(Aktíva!B:B,B89,Aktíva!G:G)/Units</f>
        <v>0</v>
      </c>
      <c r="I89" s="366">
        <f>SUMIF(Aktíva!B:B,B89,Aktíva!F:F)/Units</f>
        <v>0</v>
      </c>
      <c r="K89" s="19"/>
      <c r="L89" s="19"/>
      <c r="M89" s="19"/>
    </row>
    <row r="90" spans="1:13" ht="11.25" customHeight="1" x14ac:dyDescent="0.2">
      <c r="B90" s="334">
        <v>62</v>
      </c>
      <c r="C90" s="349" t="s">
        <v>117</v>
      </c>
      <c r="D90" s="350" t="s">
        <v>118</v>
      </c>
      <c r="E90" s="365">
        <f>SUMIF(Aktíva!B:B,B90,Aktíva!J:J)/Units</f>
        <v>0</v>
      </c>
      <c r="F90" s="231">
        <f>SUMIF(Aktíva!B:B,B90,Aktíva!I:I)/Units</f>
        <v>0</v>
      </c>
      <c r="G90" s="231">
        <f>SUMIF(Aktíva!B:B,B90,Aktíva!H:H)/Units</f>
        <v>0</v>
      </c>
      <c r="H90" s="231">
        <f>SUMIF(Aktíva!B:B,B90,Aktíva!G:G)/Units</f>
        <v>0</v>
      </c>
      <c r="I90" s="366">
        <f>SUMIF(Aktíva!B:B,B90,Aktíva!F:F)/Units</f>
        <v>0</v>
      </c>
      <c r="K90" s="19"/>
      <c r="L90" s="19"/>
      <c r="M90" s="19"/>
    </row>
    <row r="91" spans="1:13" ht="11.25" customHeight="1" x14ac:dyDescent="0.2">
      <c r="B91" s="334">
        <v>63</v>
      </c>
      <c r="C91" s="349" t="s">
        <v>119</v>
      </c>
      <c r="D91" s="350" t="s">
        <v>120</v>
      </c>
      <c r="E91" s="365">
        <f>SUMIF(Aktíva!B:B,B91,Aktíva!J:J)/Units</f>
        <v>0</v>
      </c>
      <c r="F91" s="231">
        <f>SUMIF(Aktíva!B:B,B91,Aktíva!I:I)/Units</f>
        <v>0</v>
      </c>
      <c r="G91" s="231">
        <f>SUMIF(Aktíva!B:B,B91,Aktíva!H:H)/Units</f>
        <v>0</v>
      </c>
      <c r="H91" s="231">
        <f>SUMIF(Aktíva!B:B,B91,Aktíva!G:G)/Units</f>
        <v>0</v>
      </c>
      <c r="I91" s="366">
        <f>SUMIF(Aktíva!B:B,B91,Aktíva!F:F)/Units</f>
        <v>0</v>
      </c>
    </row>
    <row r="92" spans="1:13" ht="11.25" customHeight="1" x14ac:dyDescent="0.2">
      <c r="B92" s="334">
        <v>64</v>
      </c>
      <c r="C92" s="349" t="s">
        <v>602</v>
      </c>
      <c r="D92" s="350" t="s">
        <v>278</v>
      </c>
      <c r="E92" s="365">
        <f>SUMIF(Aktíva!B:B,B92,Aktíva!J:J)/Units</f>
        <v>0</v>
      </c>
      <c r="F92" s="231">
        <f>SUMIF(Aktíva!B:B,B92,Aktíva!I:I)/Units</f>
        <v>0</v>
      </c>
      <c r="G92" s="231">
        <f>SUMIF(Aktíva!B:B,B92,Aktíva!H:H)/Units</f>
        <v>0</v>
      </c>
      <c r="H92" s="231">
        <f>SUMIF(Aktíva!B:B,B92,Aktíva!G:G)/Units</f>
        <v>0</v>
      </c>
      <c r="I92" s="366">
        <f>SUMIF(Aktíva!B:B,B92,Aktíva!F:F)/Units</f>
        <v>0</v>
      </c>
    </row>
    <row r="93" spans="1:13" ht="11.25" customHeight="1" x14ac:dyDescent="0.2">
      <c r="B93" s="334">
        <v>65</v>
      </c>
      <c r="C93" s="349" t="s">
        <v>121</v>
      </c>
      <c r="D93" s="350" t="s">
        <v>122</v>
      </c>
      <c r="E93" s="365">
        <f>SUMIF(Aktíva!B:B,B93,Aktíva!J:J)/Units</f>
        <v>0</v>
      </c>
      <c r="F93" s="231">
        <f>SUMIF(Aktíva!B:B,B93,Aktíva!I:I)/Units</f>
        <v>0</v>
      </c>
      <c r="G93" s="231">
        <f>SUMIF(Aktíva!B:B,B93,Aktíva!H:H)/Units</f>
        <v>0</v>
      </c>
      <c r="H93" s="231">
        <f>SUMIF(Aktíva!B:B,B93,Aktíva!G:G)/Units</f>
        <v>0</v>
      </c>
      <c r="I93" s="366">
        <f>SUMIF(Aktíva!B:B,B93,Aktíva!F:F)/Units</f>
        <v>0</v>
      </c>
    </row>
    <row r="94" spans="1:13" ht="11.25" customHeight="1" x14ac:dyDescent="0.2">
      <c r="B94" s="334">
        <v>66</v>
      </c>
      <c r="C94" s="349" t="s">
        <v>124</v>
      </c>
      <c r="D94" s="350" t="s">
        <v>125</v>
      </c>
      <c r="E94" s="365">
        <f>SUMIF(Aktíva!B:B,B94,Aktíva!J:J)/Units</f>
        <v>0</v>
      </c>
      <c r="F94" s="231">
        <f>SUMIF(Aktíva!B:B,B94,Aktíva!I:I)/Units</f>
        <v>0</v>
      </c>
      <c r="G94" s="231">
        <f>SUMIF(Aktíva!B:B,B94,Aktíva!H:H)/Units</f>
        <v>0</v>
      </c>
      <c r="H94" s="231">
        <f>SUMIF(Aktíva!B:B,B94,Aktíva!G:G)/Units</f>
        <v>0</v>
      </c>
      <c r="I94" s="366">
        <f>SUMIF(Aktíva!B:B,B94,Aktíva!F:F)/Units</f>
        <v>0</v>
      </c>
    </row>
    <row r="95" spans="1:13" ht="11.25" customHeight="1" x14ac:dyDescent="0.2">
      <c r="B95" s="334">
        <v>70</v>
      </c>
      <c r="C95" s="410" t="s">
        <v>123</v>
      </c>
      <c r="D95" s="411" t="s">
        <v>738</v>
      </c>
      <c r="E95" s="412">
        <f>SUMIF(Aktíva!B:B,B95,Aktíva!J:J)/Units</f>
        <v>0</v>
      </c>
      <c r="F95" s="380">
        <f>SUMIF(Aktíva!B:B,B95,Aktíva!I:I)/Units</f>
        <v>0</v>
      </c>
      <c r="G95" s="380">
        <f>SUMIF(Aktíva!B:B,B95,Aktíva!H:H)/Units</f>
        <v>0</v>
      </c>
      <c r="H95" s="380">
        <f>SUMIF(Aktíva!B:B,B95,Aktíva!G:G)/Units</f>
        <v>0</v>
      </c>
      <c r="I95" s="400">
        <f>SUMIF(Aktíva!B:B,B95,Aktíva!F:F)/Units</f>
        <v>0</v>
      </c>
    </row>
    <row r="96" spans="1:13" ht="11.25" customHeight="1" x14ac:dyDescent="0.2">
      <c r="C96" s="349"/>
      <c r="D96" s="350"/>
      <c r="E96" s="367">
        <f>SUM(E89:E95)</f>
        <v>0</v>
      </c>
      <c r="F96" s="368">
        <f>SUM(F89:F95)</f>
        <v>0</v>
      </c>
      <c r="G96" s="368">
        <f>SUM(G89:G95)</f>
        <v>0</v>
      </c>
      <c r="H96" s="368">
        <f>SUM(H89:H95)</f>
        <v>0</v>
      </c>
      <c r="I96" s="369">
        <f>SUM(I89:I95)</f>
        <v>0</v>
      </c>
    </row>
    <row r="97" spans="2:10" ht="11.25" customHeight="1" x14ac:dyDescent="0.2">
      <c r="B97" s="334">
        <v>69</v>
      </c>
      <c r="C97" s="398" t="s">
        <v>591</v>
      </c>
      <c r="D97" s="413" t="s">
        <v>126</v>
      </c>
      <c r="E97" s="412">
        <f>SUMIF(Aktíva!B:B,B97,Aktíva!J:J)/Units</f>
        <v>0</v>
      </c>
      <c r="F97" s="380">
        <f>SUMIF(Aktíva!B:B,B97,Aktíva!I:I)/Units</f>
        <v>0</v>
      </c>
      <c r="G97" s="380">
        <f>SUMIF(Aktíva!B:B,B97,Aktíva!H:H)/Units</f>
        <v>0</v>
      </c>
      <c r="H97" s="380">
        <f>SUMIF(Aktíva!B:B,B97,Aktíva!G:G)/Units</f>
        <v>0</v>
      </c>
      <c r="I97" s="400">
        <f>SUMIF(Aktíva!B:B,B97,Aktíva!F:F)/Units</f>
        <v>0</v>
      </c>
    </row>
    <row r="98" spans="2:10" ht="11.25" customHeight="1" thickBot="1" x14ac:dyDescent="0.25">
      <c r="C98" s="387" t="s">
        <v>37</v>
      </c>
      <c r="D98" s="388" t="s">
        <v>127</v>
      </c>
      <c r="E98" s="389">
        <f>SUM(E96:E97,E85:E87,E80)</f>
        <v>0</v>
      </c>
      <c r="F98" s="390">
        <f t="shared" ref="F98:I98" si="14">SUM(F96:F97,F85:F87,F80)</f>
        <v>0</v>
      </c>
      <c r="G98" s="390">
        <f t="shared" si="14"/>
        <v>0</v>
      </c>
      <c r="H98" s="390">
        <f t="shared" si="14"/>
        <v>0</v>
      </c>
      <c r="I98" s="391">
        <f t="shared" si="14"/>
        <v>0</v>
      </c>
      <c r="J98" s="7"/>
    </row>
    <row r="99" spans="2:10" ht="11.25" customHeight="1" x14ac:dyDescent="0.2">
      <c r="C99" s="301" t="s">
        <v>136</v>
      </c>
      <c r="D99" s="363" t="s">
        <v>137</v>
      </c>
      <c r="E99" s="370"/>
      <c r="F99" s="370"/>
      <c r="G99" s="370"/>
      <c r="H99" s="370"/>
      <c r="I99" s="371"/>
    </row>
    <row r="100" spans="2:10" ht="11.25" customHeight="1" x14ac:dyDescent="0.2">
      <c r="B100" s="334" t="s">
        <v>15</v>
      </c>
      <c r="C100" s="349" t="s">
        <v>38</v>
      </c>
      <c r="D100" s="364" t="s">
        <v>138</v>
      </c>
      <c r="E100" s="365">
        <f>SUMIF(Pasíva!B:B,B100,Pasíva!J:J)/Units</f>
        <v>0</v>
      </c>
      <c r="F100" s="231">
        <f>SUMIF(Pasíva!B:B,B100,Pasíva!I:I)/Units</f>
        <v>0</v>
      </c>
      <c r="G100" s="231">
        <f>SUMIF(Pasíva!B:B,B100,Pasíva!H:H)/Units</f>
        <v>0</v>
      </c>
      <c r="H100" s="231">
        <f>SUMIF(Pasíva!B:B,B100,Pasíva!G:G)/Units</f>
        <v>0</v>
      </c>
      <c r="I100" s="366">
        <f>SUMIF(Pasíva!B:B,B100,Pasíva!F:F)/Units</f>
        <v>0</v>
      </c>
    </row>
    <row r="101" spans="2:10" ht="11.25" customHeight="1" x14ac:dyDescent="0.2">
      <c r="B101" s="334" t="s">
        <v>139</v>
      </c>
      <c r="C101" s="349" t="s">
        <v>39</v>
      </c>
      <c r="D101" s="364" t="s">
        <v>140</v>
      </c>
      <c r="E101" s="365">
        <f>SUMIF(Pasíva!B:B,B101,Pasíva!J:J)/Units</f>
        <v>0</v>
      </c>
      <c r="F101" s="231">
        <f>SUMIF(Pasíva!B:B,B101,Pasíva!I:I)/Units</f>
        <v>0</v>
      </c>
      <c r="G101" s="231">
        <f>SUMIF(Pasíva!B:B,B101,Pasíva!H:H)/Units</f>
        <v>0</v>
      </c>
      <c r="H101" s="231">
        <f>SUMIF(Pasíva!B:B,B101,Pasíva!G:G)/Units</f>
        <v>0</v>
      </c>
      <c r="I101" s="366">
        <f>SUMIF(Pasíva!B:B,B101,Pasíva!F:F)/Units</f>
        <v>0</v>
      </c>
    </row>
    <row r="102" spans="2:10" ht="11.25" customHeight="1" x14ac:dyDescent="0.2">
      <c r="B102" s="334" t="s">
        <v>141</v>
      </c>
      <c r="C102" s="349" t="s">
        <v>40</v>
      </c>
      <c r="D102" s="364" t="s">
        <v>142</v>
      </c>
      <c r="E102" s="365">
        <f>SUMIF(Pasíva!B:B,B102,Pasíva!J:J)/Units</f>
        <v>0</v>
      </c>
      <c r="F102" s="231">
        <f>SUMIF(Pasíva!B:B,B102,Pasíva!I:I)/Units</f>
        <v>0</v>
      </c>
      <c r="G102" s="231">
        <f>SUMIF(Pasíva!B:B,B102,Pasíva!H:H)/Units</f>
        <v>0</v>
      </c>
      <c r="H102" s="231">
        <f>SUMIF(Pasíva!B:B,B102,Pasíva!G:G)/Units</f>
        <v>0</v>
      </c>
      <c r="I102" s="366">
        <f>SUMIF(Pasíva!B:B,B102,Pasíva!F:F)/Units</f>
        <v>0</v>
      </c>
    </row>
    <row r="103" spans="2:10" ht="11.25" customHeight="1" x14ac:dyDescent="0.2">
      <c r="B103" s="334" t="s">
        <v>143</v>
      </c>
      <c r="C103" s="410" t="s">
        <v>28</v>
      </c>
      <c r="D103" s="414" t="s">
        <v>68</v>
      </c>
      <c r="E103" s="412">
        <f>SUMIF(Pasíva!B:B,B103,Pasíva!J:J)/Units</f>
        <v>0</v>
      </c>
      <c r="F103" s="380">
        <f>SUMIF(Pasíva!B:B,B103,Pasíva!I:I)/Units</f>
        <v>0</v>
      </c>
      <c r="G103" s="380">
        <f>SUMIF(Pasíva!B:B,B103,Pasíva!H:H)/Units</f>
        <v>0</v>
      </c>
      <c r="H103" s="380">
        <f>SUMIF(Pasíva!B:B,B103,Pasíva!G:G)/Units</f>
        <v>0</v>
      </c>
      <c r="I103" s="400">
        <f>SUMIF(Pasíva!B:B,B103,Pasíva!F:F)/Units</f>
        <v>0</v>
      </c>
    </row>
    <row r="104" spans="2:10" ht="11.25" customHeight="1" x14ac:dyDescent="0.2">
      <c r="C104" s="349"/>
      <c r="D104" s="364"/>
      <c r="E104" s="367">
        <f>SUM(E100:E103)</f>
        <v>0</v>
      </c>
      <c r="F104" s="368">
        <f>SUM(F100:F103)</f>
        <v>0</v>
      </c>
      <c r="G104" s="368">
        <f>SUM(G100:G103)</f>
        <v>0</v>
      </c>
      <c r="H104" s="368">
        <f>SUM(H100:H103)</f>
        <v>0</v>
      </c>
      <c r="I104" s="369">
        <f>SUM(I100:I103)</f>
        <v>0</v>
      </c>
    </row>
    <row r="105" spans="2:10" ht="11.25" customHeight="1" x14ac:dyDescent="0.2">
      <c r="C105" s="301" t="s">
        <v>144</v>
      </c>
      <c r="D105" s="301" t="s">
        <v>137</v>
      </c>
      <c r="E105" s="231"/>
      <c r="F105" s="231"/>
      <c r="G105" s="231"/>
      <c r="H105" s="231"/>
      <c r="I105" s="366"/>
    </row>
    <row r="106" spans="2:10" ht="11.25" customHeight="1" x14ac:dyDescent="0.2">
      <c r="B106" s="334" t="s">
        <v>16</v>
      </c>
      <c r="C106" s="349" t="s">
        <v>38</v>
      </c>
      <c r="D106" s="364" t="s">
        <v>138</v>
      </c>
      <c r="E106" s="365">
        <f>SUMIF(Pasíva!B:B,B106,Pasíva!J:J)/Units</f>
        <v>0</v>
      </c>
      <c r="F106" s="231">
        <f>SUMIF(Pasíva!B:B,B106,Pasíva!I:I)/Units</f>
        <v>0</v>
      </c>
      <c r="G106" s="231">
        <f>SUMIF(Pasíva!B:B,B106,Pasíva!H:H)/Units</f>
        <v>0</v>
      </c>
      <c r="H106" s="231">
        <f>SUMIF(Pasíva!B:B,B106,Pasíva!G:G)/Units</f>
        <v>0</v>
      </c>
      <c r="I106" s="366">
        <f>SUMIF(Pasíva!B:B,B106,Pasíva!F:F)/Units</f>
        <v>0</v>
      </c>
    </row>
    <row r="107" spans="2:10" ht="11.25" customHeight="1" x14ac:dyDescent="0.2">
      <c r="B107" s="334" t="s">
        <v>145</v>
      </c>
      <c r="C107" s="349" t="s">
        <v>39</v>
      </c>
      <c r="D107" s="364" t="s">
        <v>140</v>
      </c>
      <c r="E107" s="365">
        <f>SUMIF(Pasíva!B:B,B107,Pasíva!J:J)/Units</f>
        <v>0</v>
      </c>
      <c r="F107" s="231">
        <f>SUMIF(Pasíva!B:B,B107,Pasíva!I:I)/Units</f>
        <v>0</v>
      </c>
      <c r="G107" s="231">
        <f>SUMIF(Pasíva!B:B,B107,Pasíva!H:H)/Units</f>
        <v>0</v>
      </c>
      <c r="H107" s="231">
        <f>SUMIF(Pasíva!B:B,B107,Pasíva!G:G)/Units</f>
        <v>0</v>
      </c>
      <c r="I107" s="366">
        <f>SUMIF(Pasíva!B:B,B107,Pasíva!F:F)/Units</f>
        <v>0</v>
      </c>
      <c r="J107" s="341"/>
    </row>
    <row r="108" spans="2:10" ht="11.25" customHeight="1" x14ac:dyDescent="0.2">
      <c r="B108" s="334" t="s">
        <v>146</v>
      </c>
      <c r="C108" s="349" t="s">
        <v>40</v>
      </c>
      <c r="D108" s="364" t="s">
        <v>142</v>
      </c>
      <c r="E108" s="365">
        <f>SUMIF(Pasíva!B:B,B108,Pasíva!J:J)/Units</f>
        <v>0</v>
      </c>
      <c r="F108" s="231">
        <f>SUMIF(Pasíva!B:B,B108,Pasíva!I:I)/Units</f>
        <v>0</v>
      </c>
      <c r="G108" s="231">
        <f>SUMIF(Pasíva!B:B,B108,Pasíva!H:H)/Units</f>
        <v>0</v>
      </c>
      <c r="H108" s="231">
        <f>SUMIF(Pasíva!B:B,B108,Pasíva!G:G)/Units</f>
        <v>0</v>
      </c>
      <c r="I108" s="366">
        <f>SUMIF(Pasíva!B:B,B108,Pasíva!F:F)/Units</f>
        <v>0</v>
      </c>
    </row>
    <row r="109" spans="2:10" ht="11.25" customHeight="1" x14ac:dyDescent="0.2">
      <c r="B109" s="334">
        <v>89</v>
      </c>
      <c r="C109" s="349" t="s">
        <v>147</v>
      </c>
      <c r="D109" s="364" t="s">
        <v>148</v>
      </c>
      <c r="E109" s="365">
        <f>SUMIF(Pasíva!B:B,B109,Pasíva!J:J)/Units</f>
        <v>0</v>
      </c>
      <c r="F109" s="231">
        <f>SUMIF(Pasíva!B:B,B109,Pasíva!I:I)/Units</f>
        <v>0</v>
      </c>
      <c r="G109" s="231">
        <f>SUMIF(Pasíva!B:B,B109,Pasíva!H:H)/Units</f>
        <v>0</v>
      </c>
      <c r="H109" s="231">
        <f>SUMIF(Pasíva!B:B,B109,Pasíva!G:G)/Units</f>
        <v>0</v>
      </c>
      <c r="I109" s="366">
        <f>SUMIF(Pasíva!B:B,B109,Pasíva!F:F)/Units</f>
        <v>0</v>
      </c>
    </row>
    <row r="110" spans="2:10" ht="11.25" customHeight="1" x14ac:dyDescent="0.2">
      <c r="B110" s="334" t="s">
        <v>149</v>
      </c>
      <c r="C110" s="410" t="s">
        <v>28</v>
      </c>
      <c r="D110" s="414" t="s">
        <v>68</v>
      </c>
      <c r="E110" s="412">
        <f>SUMIF(Pasíva!B:B,B110,Pasíva!J:J)/Units</f>
        <v>0</v>
      </c>
      <c r="F110" s="380">
        <f>SUMIF(Pasíva!B:B,B110,Pasíva!I:I)/Units</f>
        <v>0</v>
      </c>
      <c r="G110" s="380">
        <f>SUMIF(Pasíva!B:B,B110,Pasíva!H:H)/Units</f>
        <v>0</v>
      </c>
      <c r="H110" s="380">
        <f>SUMIF(Pasíva!B:B,B110,Pasíva!G:G)/Units</f>
        <v>0</v>
      </c>
      <c r="I110" s="400">
        <f>SUMIF(Pasíva!B:B,B110,Pasíva!F:F)/Units</f>
        <v>0</v>
      </c>
    </row>
    <row r="111" spans="2:10" ht="11.25" customHeight="1" x14ac:dyDescent="0.2">
      <c r="C111" s="349"/>
      <c r="D111" s="364"/>
      <c r="E111" s="367">
        <f>SUM(E106:E110)</f>
        <v>0</v>
      </c>
      <c r="F111" s="368">
        <f>SUM(F106:F110)</f>
        <v>0</v>
      </c>
      <c r="G111" s="368">
        <f>SUM(G106:G110)</f>
        <v>0</v>
      </c>
      <c r="H111" s="368">
        <f>SUM(H106:H110)</f>
        <v>0</v>
      </c>
      <c r="I111" s="369">
        <f>SUM(I106:I110)</f>
        <v>0</v>
      </c>
    </row>
    <row r="112" spans="2:10" ht="11.25" customHeight="1" x14ac:dyDescent="0.2">
      <c r="B112" s="334">
        <v>94</v>
      </c>
      <c r="C112" s="301" t="s">
        <v>150</v>
      </c>
      <c r="D112" s="301" t="s">
        <v>744</v>
      </c>
      <c r="E112" s="231"/>
      <c r="F112" s="231"/>
      <c r="G112" s="231"/>
      <c r="H112" s="231"/>
      <c r="I112" s="366"/>
    </row>
    <row r="113" spans="1:11" ht="11.25" customHeight="1" x14ac:dyDescent="0.2">
      <c r="B113" s="334">
        <v>95</v>
      </c>
      <c r="C113" s="349" t="s">
        <v>592</v>
      </c>
      <c r="D113" s="364" t="s">
        <v>740</v>
      </c>
      <c r="E113" s="365">
        <f>SUMIF(Pasíva!B:B,B113,Pasíva!J:J)/Units</f>
        <v>0</v>
      </c>
      <c r="F113" s="231">
        <f>SUMIF(Pasíva!B:B,B113,Pasíva!I:I)/Units</f>
        <v>0</v>
      </c>
      <c r="G113" s="231">
        <f>SUMIF(Pasíva!B:B,B113,Pasíva!H:H)/Units</f>
        <v>0</v>
      </c>
      <c r="H113" s="231">
        <f>SUMIF(Pasíva!B:B,B113,Pasíva!G:G)/Units</f>
        <v>0</v>
      </c>
      <c r="I113" s="366">
        <f>SUMIF(Pasíva!B:B,B113,Pasíva!F:F)/Units</f>
        <v>0</v>
      </c>
    </row>
    <row r="114" spans="1:11" ht="11.25" customHeight="1" x14ac:dyDescent="0.2">
      <c r="B114" s="334">
        <v>96</v>
      </c>
      <c r="C114" s="410" t="s">
        <v>593</v>
      </c>
      <c r="D114" s="414" t="s">
        <v>741</v>
      </c>
      <c r="E114" s="412">
        <f>SUMIF(Pasíva!B:B,B114,Pasíva!J:J)/Units</f>
        <v>0</v>
      </c>
      <c r="F114" s="380">
        <f>SUMIF(Pasíva!B:B,B114,Pasíva!I:I)/Units</f>
        <v>0</v>
      </c>
      <c r="G114" s="380">
        <f>SUMIF(Pasíva!B:B,B114,Pasíva!H:H)/Units</f>
        <v>0</v>
      </c>
      <c r="H114" s="380">
        <f>SUMIF(Pasíva!B:B,B114,Pasíva!G:G)/Units</f>
        <v>0</v>
      </c>
      <c r="I114" s="400">
        <f>SUMIF(Pasíva!B:B,B114,Pasíva!F:F)/Units</f>
        <v>0</v>
      </c>
    </row>
    <row r="115" spans="1:11" ht="11.25" customHeight="1" x14ac:dyDescent="0.2">
      <c r="C115" s="349"/>
      <c r="D115" s="276"/>
      <c r="E115" s="367">
        <f>+SUM(E113:E114)</f>
        <v>0</v>
      </c>
      <c r="F115" s="368">
        <f>+SUM(F113:F114)</f>
        <v>0</v>
      </c>
      <c r="G115" s="368">
        <f>+SUM(G113:G114)</f>
        <v>0</v>
      </c>
      <c r="H115" s="368">
        <f>+SUM(H113:H114)</f>
        <v>0</v>
      </c>
      <c r="I115" s="369">
        <f>+SUM(I113:I114)</f>
        <v>0</v>
      </c>
    </row>
    <row r="116" spans="1:11" ht="11.25" customHeight="1" x14ac:dyDescent="0.2">
      <c r="B116" s="334">
        <v>97</v>
      </c>
      <c r="C116" s="300" t="s">
        <v>17</v>
      </c>
      <c r="D116" s="300" t="s">
        <v>126</v>
      </c>
      <c r="E116" s="367">
        <f>SUMIF(Pasíva!B:B,B116,Pasíva!J:J)/Units</f>
        <v>0</v>
      </c>
      <c r="F116" s="368">
        <f>SUMIF(Pasíva!B:B,B116,Pasíva!I:I)/Units</f>
        <v>0</v>
      </c>
      <c r="G116" s="368">
        <f>SUMIF(Pasíva!B:B,B116,Pasíva!H:H)/Units</f>
        <v>0</v>
      </c>
      <c r="H116" s="368">
        <f>SUMIF(Pasíva!B:B,B116,Pasíva!G:G)/Units</f>
        <v>0</v>
      </c>
      <c r="I116" s="369">
        <f>SUMIF(Pasíva!B:B,B116,Pasíva!F:F)/Units</f>
        <v>0</v>
      </c>
      <c r="K116" s="21"/>
    </row>
    <row r="117" spans="1:11" s="54" customFormat="1" ht="11.25" customHeight="1" x14ac:dyDescent="0.2">
      <c r="A117" s="461"/>
      <c r="B117" s="337">
        <v>81</v>
      </c>
      <c r="C117" s="300" t="s">
        <v>14</v>
      </c>
      <c r="D117" s="300" t="s">
        <v>652</v>
      </c>
      <c r="E117" s="367">
        <f>SUMIF(Pasíva!B:B,B117,Pasíva!J:J)/Units</f>
        <v>0</v>
      </c>
      <c r="F117" s="368">
        <f>SUMIF(Pasíva!B:B,B117,Pasíva!I:I)/Units</f>
        <v>0</v>
      </c>
      <c r="G117" s="368">
        <f>SUMIF(Pasíva!B:B,B117,Pasíva!H:H)/Units</f>
        <v>0</v>
      </c>
      <c r="H117" s="368">
        <f>SUMIF(Pasíva!B:B,B117,Pasíva!G:G)/Units</f>
        <v>0</v>
      </c>
      <c r="I117" s="369">
        <f>SUMIF(Pasíva!B:B,B117,Pasíva!F:F)/Units</f>
        <v>0</v>
      </c>
      <c r="J117" s="43"/>
    </row>
    <row r="118" spans="1:11" ht="11.25" customHeight="1" x14ac:dyDescent="0.2">
      <c r="B118" s="334">
        <v>85</v>
      </c>
      <c r="C118" s="398" t="s">
        <v>135</v>
      </c>
      <c r="D118" s="398" t="s">
        <v>113</v>
      </c>
      <c r="E118" s="393">
        <f>SUMIF(Pasíva!B:B,B118,Pasíva!J:J)/Units</f>
        <v>0</v>
      </c>
      <c r="F118" s="394">
        <f>SUMIF(Pasíva!B:B,B118,Pasíva!I:I)/Units</f>
        <v>0</v>
      </c>
      <c r="G118" s="394">
        <f>SUMIF(Pasíva!B:B,B118,Pasíva!H:H)/Units</f>
        <v>0</v>
      </c>
      <c r="H118" s="394">
        <f>SUMIF(Pasíva!B:B,B118,Pasíva!G:G)/Units</f>
        <v>0</v>
      </c>
      <c r="I118" s="395">
        <f>SUMIF(Pasíva!B:B,B118,Pasíva!F:F)/Units</f>
        <v>0</v>
      </c>
    </row>
    <row r="119" spans="1:11" ht="11.25" customHeight="1" thickBot="1" x14ac:dyDescent="0.25">
      <c r="C119" s="392"/>
      <c r="D119" s="392"/>
      <c r="E119" s="390">
        <f>+SUM(E115:E118,E111,E104)</f>
        <v>0</v>
      </c>
      <c r="F119" s="390">
        <f t="shared" ref="F119:I119" si="15">+SUM(F115:F118,F111,F104)</f>
        <v>0</v>
      </c>
      <c r="G119" s="390">
        <f t="shared" si="15"/>
        <v>0</v>
      </c>
      <c r="H119" s="390">
        <f t="shared" si="15"/>
        <v>0</v>
      </c>
      <c r="I119" s="391">
        <f t="shared" si="15"/>
        <v>0</v>
      </c>
      <c r="K119" s="21"/>
    </row>
    <row r="120" spans="1:11" ht="11.25" customHeight="1" x14ac:dyDescent="0.2">
      <c r="C120" s="301" t="s">
        <v>10</v>
      </c>
      <c r="D120" s="348" t="s">
        <v>128</v>
      </c>
      <c r="E120" s="231"/>
      <c r="F120" s="231"/>
      <c r="G120" s="231"/>
      <c r="H120" s="231"/>
      <c r="I120" s="366"/>
    </row>
    <row r="121" spans="1:11" ht="11.25" customHeight="1" x14ac:dyDescent="0.2">
      <c r="B121" s="334">
        <v>80</v>
      </c>
      <c r="C121" s="349" t="s">
        <v>129</v>
      </c>
      <c r="D121" s="45" t="s">
        <v>130</v>
      </c>
      <c r="E121" s="365">
        <f>SUMIF(Pasíva!B:B,B121,Pasíva!J:J)/Units</f>
        <v>0</v>
      </c>
      <c r="F121" s="231">
        <f>SUMIF(Pasíva!B:B,B121,Pasíva!I:I)/Units</f>
        <v>0</v>
      </c>
      <c r="G121" s="231">
        <f>SUMIF(Pasíva!B:B,B121,Pasíva!H:H)/Units</f>
        <v>0</v>
      </c>
      <c r="H121" s="231">
        <f>SUMIF(Pasíva!B:B,B121,Pasíva!G:G)/Units</f>
        <v>0</v>
      </c>
      <c r="I121" s="366">
        <f>SUMIF(Pasíva!B:B,B121,Pasíva!F:F)/Units</f>
        <v>0</v>
      </c>
      <c r="J121" s="9"/>
    </row>
    <row r="122" spans="1:11" ht="11.25" customHeight="1" x14ac:dyDescent="0.2">
      <c r="B122" s="334">
        <v>83</v>
      </c>
      <c r="C122" s="349" t="s">
        <v>12</v>
      </c>
      <c r="D122" s="45" t="s">
        <v>650</v>
      </c>
      <c r="E122" s="365">
        <f>SUMIF(Pasíva!B:B,B122,Pasíva!J:J)/Units</f>
        <v>0</v>
      </c>
      <c r="F122" s="231">
        <f>SUMIF(Pasíva!B:B,B122,Pasíva!I:I)/Units</f>
        <v>0</v>
      </c>
      <c r="G122" s="231">
        <f>SUMIF(Pasíva!B:B,B122,Pasíva!H:H)/Units</f>
        <v>0</v>
      </c>
      <c r="H122" s="231">
        <f>SUMIF(Pasíva!B:B,B122,Pasíva!G:G)/Units</f>
        <v>0</v>
      </c>
      <c r="I122" s="366">
        <f>SUMIF(Pasíva!B:B,B122,Pasíva!F:F)/Units</f>
        <v>0</v>
      </c>
      <c r="J122" s="9"/>
    </row>
    <row r="123" spans="1:11" ht="11.25" customHeight="1" x14ac:dyDescent="0.2">
      <c r="B123" s="334">
        <v>82</v>
      </c>
      <c r="C123" s="349" t="s">
        <v>131</v>
      </c>
      <c r="D123" s="45" t="s">
        <v>132</v>
      </c>
      <c r="E123" s="365">
        <f>SUMIF(Pasíva!B:B,B123,Pasíva!J:J)/Units</f>
        <v>0</v>
      </c>
      <c r="F123" s="231">
        <f>SUMIF(Pasíva!B:B,B123,Pasíva!I:I)/Units</f>
        <v>0</v>
      </c>
      <c r="G123" s="231">
        <f>SUMIF(Pasíva!B:B,B123,Pasíva!H:H)/Units</f>
        <v>0</v>
      </c>
      <c r="H123" s="231">
        <f>SUMIF(Pasíva!B:B,B123,Pasíva!G:G)/Units</f>
        <v>0</v>
      </c>
      <c r="I123" s="366">
        <f>SUMIF(Pasíva!B:B,B123,Pasíva!F:F)/Units</f>
        <v>0</v>
      </c>
      <c r="J123" s="43"/>
    </row>
    <row r="124" spans="1:11" ht="11.25" customHeight="1" x14ac:dyDescent="0.2">
      <c r="C124" s="410" t="s">
        <v>133</v>
      </c>
      <c r="D124" s="415" t="s">
        <v>134</v>
      </c>
      <c r="E124" s="412">
        <f>+E68</f>
        <v>0</v>
      </c>
      <c r="F124" s="380">
        <f>+F68</f>
        <v>0</v>
      </c>
      <c r="G124" s="380">
        <f>+G68</f>
        <v>0</v>
      </c>
      <c r="H124" s="380">
        <f>+H68</f>
        <v>0</v>
      </c>
      <c r="I124" s="400">
        <f>+I68</f>
        <v>0</v>
      </c>
    </row>
    <row r="125" spans="1:11" ht="11.25" customHeight="1" x14ac:dyDescent="0.2">
      <c r="C125" s="351"/>
      <c r="D125" s="352"/>
      <c r="E125" s="393">
        <f>+SUM(E121:E124)</f>
        <v>0</v>
      </c>
      <c r="F125" s="394">
        <f>+SUM(F121:F124)</f>
        <v>0</v>
      </c>
      <c r="G125" s="394">
        <f>+SUM(G121:G124)</f>
        <v>0</v>
      </c>
      <c r="H125" s="394">
        <f>+SUM(H121:H124)</f>
        <v>0</v>
      </c>
      <c r="I125" s="395">
        <f>+SUM(I121:I124)</f>
        <v>0</v>
      </c>
      <c r="K125" s="21"/>
    </row>
    <row r="126" spans="1:11" s="54" customFormat="1" ht="11.25" customHeight="1" thickBot="1" x14ac:dyDescent="0.25">
      <c r="A126" s="461"/>
      <c r="B126" s="362"/>
      <c r="C126" s="396" t="s">
        <v>856</v>
      </c>
      <c r="D126" s="397" t="s">
        <v>855</v>
      </c>
      <c r="E126" s="385">
        <f>SUM(,E119,E125)</f>
        <v>0</v>
      </c>
      <c r="F126" s="385">
        <f t="shared" ref="F126:I126" si="16">SUM(,F119,F125)</f>
        <v>0</v>
      </c>
      <c r="G126" s="385">
        <f t="shared" si="16"/>
        <v>0</v>
      </c>
      <c r="H126" s="385">
        <f t="shared" si="16"/>
        <v>0</v>
      </c>
      <c r="I126" s="386">
        <f t="shared" si="16"/>
        <v>0</v>
      </c>
      <c r="J126" s="43"/>
    </row>
    <row r="127" spans="1:11" ht="12" customHeight="1" x14ac:dyDescent="0.2">
      <c r="E127" s="671"/>
      <c r="F127" s="671"/>
      <c r="G127" s="671"/>
      <c r="H127" s="671"/>
      <c r="I127" s="671"/>
    </row>
    <row r="128" spans="1:11" s="460" customFormat="1" ht="11.25" customHeight="1" x14ac:dyDescent="0.2">
      <c r="B128" s="459"/>
      <c r="C128" s="459" t="s">
        <v>590</v>
      </c>
      <c r="D128" s="459" t="s">
        <v>590</v>
      </c>
      <c r="E128" s="672">
        <f>E126-E98</f>
        <v>0</v>
      </c>
      <c r="F128" s="672">
        <f>F126-F98</f>
        <v>0</v>
      </c>
      <c r="G128" s="672">
        <f>G126-G98</f>
        <v>0</v>
      </c>
      <c r="H128" s="672">
        <f>H126-H98</f>
        <v>0</v>
      </c>
      <c r="I128" s="672">
        <f>I126-I98</f>
        <v>0</v>
      </c>
      <c r="J128" s="459"/>
    </row>
    <row r="129" spans="2:11" ht="11.25" customHeight="1" x14ac:dyDescent="0.2">
      <c r="B129" s="175"/>
      <c r="C129" s="459" t="s">
        <v>151</v>
      </c>
      <c r="D129" s="273"/>
      <c r="E129" s="672">
        <f>E98-Aktíva!J4</f>
        <v>0</v>
      </c>
      <c r="F129" s="672">
        <f>F98-Aktíva!I4</f>
        <v>0</v>
      </c>
      <c r="G129" s="672">
        <f>G98-Aktíva!H4</f>
        <v>0</v>
      </c>
      <c r="H129" s="672">
        <f>H98-Aktíva!G4</f>
        <v>0</v>
      </c>
      <c r="I129" s="672">
        <f>I98-Aktíva!F4</f>
        <v>0</v>
      </c>
      <c r="J129" s="459"/>
      <c r="K129" s="460"/>
    </row>
    <row r="130" spans="2:11" ht="11.25" customHeight="1" x14ac:dyDescent="0.2">
      <c r="B130" s="175"/>
      <c r="C130" s="459" t="s">
        <v>152</v>
      </c>
      <c r="D130" s="273"/>
      <c r="E130" s="672">
        <f>E119-Pasíva!J4+Pasíva!J5</f>
        <v>0</v>
      </c>
      <c r="F130" s="672">
        <f>F119-Pasíva!I4+Pasíva!I5</f>
        <v>0</v>
      </c>
      <c r="G130" s="672">
        <f>G119-Pasíva!H4+Pasíva!H5</f>
        <v>0</v>
      </c>
      <c r="H130" s="672">
        <f>H119-Pasíva!G4+Pasíva!G5</f>
        <v>0</v>
      </c>
      <c r="I130" s="672">
        <f>I119-Pasíva!F4+Pasíva!F5</f>
        <v>0</v>
      </c>
      <c r="J130" s="459"/>
      <c r="K130" s="460"/>
    </row>
    <row r="131" spans="2:11" ht="11.25" customHeight="1" x14ac:dyDescent="0.2">
      <c r="B131" s="175"/>
      <c r="C131" s="459" t="s">
        <v>153</v>
      </c>
      <c r="D131" s="273"/>
      <c r="E131" s="672">
        <f>E80-Aktíva!J14</f>
        <v>0</v>
      </c>
      <c r="F131" s="672">
        <f>F80-Aktíva!I14</f>
        <v>0</v>
      </c>
      <c r="G131" s="672">
        <f>G80-Aktíva!H14</f>
        <v>0</v>
      </c>
      <c r="H131" s="672">
        <f>H80-Aktíva!G14</f>
        <v>0</v>
      </c>
      <c r="I131" s="672">
        <f>I80-Aktíva!F14</f>
        <v>0</v>
      </c>
      <c r="J131" s="459"/>
      <c r="K131" s="460"/>
    </row>
    <row r="132" spans="2:11" ht="11.25" customHeight="1" x14ac:dyDescent="0.2">
      <c r="B132" s="175"/>
      <c r="C132" s="459" t="s">
        <v>154</v>
      </c>
      <c r="D132" s="273"/>
      <c r="E132" s="672">
        <f>E85-Aktíva!J6</f>
        <v>0</v>
      </c>
      <c r="F132" s="672">
        <f>F85-Aktíva!I6</f>
        <v>0</v>
      </c>
      <c r="G132" s="672">
        <f>G85-Aktíva!H6</f>
        <v>0</v>
      </c>
      <c r="H132" s="672">
        <f>H85-Aktíva!G6</f>
        <v>0</v>
      </c>
      <c r="I132" s="672">
        <f>I85-Aktíva!F6</f>
        <v>0</v>
      </c>
      <c r="J132" s="459"/>
      <c r="K132" s="460"/>
    </row>
    <row r="133" spans="2:11" ht="11.25" customHeight="1" x14ac:dyDescent="0.2">
      <c r="B133" s="175"/>
      <c r="C133" s="459" t="s">
        <v>155</v>
      </c>
      <c r="D133" s="273"/>
      <c r="E133" s="672">
        <v>0</v>
      </c>
      <c r="F133" s="672">
        <v>0</v>
      </c>
      <c r="G133" s="672">
        <v>0</v>
      </c>
      <c r="H133" s="672">
        <v>0</v>
      </c>
      <c r="I133" s="672">
        <v>0</v>
      </c>
      <c r="J133" s="459"/>
      <c r="K133" s="460"/>
    </row>
    <row r="134" spans="2:11" ht="11.25" customHeight="1" x14ac:dyDescent="0.2">
      <c r="B134" s="175"/>
      <c r="C134" s="459" t="s">
        <v>156</v>
      </c>
      <c r="D134" s="273"/>
      <c r="E134" s="672">
        <f>E96+E87-Aktíva!J33</f>
        <v>0</v>
      </c>
      <c r="F134" s="672">
        <f>F96+F87-Aktíva!I33</f>
        <v>0</v>
      </c>
      <c r="G134" s="672">
        <f>G96+G87-Aktíva!H33</f>
        <v>0</v>
      </c>
      <c r="H134" s="672">
        <f>H96+H87-Aktíva!G33</f>
        <v>0</v>
      </c>
      <c r="I134" s="672">
        <f>I96+I87-Aktíva!F33</f>
        <v>0</v>
      </c>
      <c r="J134" s="459"/>
      <c r="K134" s="460"/>
    </row>
    <row r="135" spans="2:11" ht="11.25" customHeight="1" x14ac:dyDescent="0.2">
      <c r="B135" s="175"/>
      <c r="C135" s="459" t="s">
        <v>157</v>
      </c>
      <c r="D135" s="273"/>
      <c r="E135" s="672">
        <f>E94-Aktíva!J58</f>
        <v>0</v>
      </c>
      <c r="F135" s="672">
        <f>F94-Aktíva!I58</f>
        <v>0</v>
      </c>
      <c r="G135" s="672">
        <f>G94-Aktíva!H58</f>
        <v>0</v>
      </c>
      <c r="H135" s="672">
        <f>H94-Aktíva!G58</f>
        <v>0</v>
      </c>
      <c r="I135" s="672">
        <f>I94-Aktíva!F58</f>
        <v>0</v>
      </c>
      <c r="J135" s="459"/>
      <c r="K135" s="460"/>
    </row>
    <row r="136" spans="2:11" ht="11.25" customHeight="1" x14ac:dyDescent="0.2">
      <c r="B136" s="175"/>
      <c r="C136" s="459" t="s">
        <v>158</v>
      </c>
      <c r="D136" s="273"/>
      <c r="E136" s="672">
        <f>E97-Aktíva!J64</f>
        <v>0</v>
      </c>
      <c r="F136" s="672">
        <f>F97-Aktíva!I64</f>
        <v>0</v>
      </c>
      <c r="G136" s="672">
        <f>G97-Aktíva!H64</f>
        <v>0</v>
      </c>
      <c r="H136" s="672">
        <f>H97-Aktíva!G64</f>
        <v>0</v>
      </c>
      <c r="I136" s="672">
        <f>I97-Aktíva!F64</f>
        <v>0</v>
      </c>
      <c r="J136" s="459"/>
      <c r="K136" s="460"/>
    </row>
    <row r="137" spans="2:11" ht="11.25" customHeight="1" x14ac:dyDescent="0.2">
      <c r="B137" s="175"/>
      <c r="C137" s="459"/>
      <c r="D137" s="273"/>
      <c r="E137" s="460"/>
      <c r="F137" s="460"/>
      <c r="G137" s="460"/>
      <c r="H137" s="460"/>
      <c r="I137" s="460"/>
      <c r="J137" s="459"/>
    </row>
    <row r="138" spans="2:11" ht="11.25" customHeight="1" x14ac:dyDescent="0.2">
      <c r="B138" s="175"/>
      <c r="C138" s="459"/>
      <c r="D138" s="273"/>
      <c r="E138" s="670"/>
      <c r="F138" s="670"/>
      <c r="G138" s="670"/>
      <c r="H138" s="670"/>
      <c r="I138" s="670"/>
      <c r="J138" s="459"/>
    </row>
    <row r="139" spans="2:11" ht="12" hidden="1" customHeight="1" x14ac:dyDescent="0.2">
      <c r="C139" s="459"/>
      <c r="D139" s="273"/>
      <c r="E139" s="460"/>
      <c r="F139" s="460"/>
      <c r="G139" s="460"/>
      <c r="H139" s="460"/>
      <c r="I139" s="460"/>
      <c r="J139" s="459"/>
    </row>
    <row r="140" spans="2:11" ht="12" hidden="1" customHeight="1" x14ac:dyDescent="0.2">
      <c r="C140" s="459"/>
      <c r="D140" s="273"/>
      <c r="E140" s="460"/>
      <c r="F140" s="460"/>
      <c r="G140" s="460"/>
      <c r="H140" s="460"/>
      <c r="I140" s="460"/>
      <c r="J140" s="459"/>
    </row>
    <row r="141" spans="2:11" ht="12" hidden="1" customHeight="1" x14ac:dyDescent="0.2">
      <c r="C141" s="459"/>
      <c r="D141" s="273"/>
      <c r="E141" s="460"/>
      <c r="F141" s="460"/>
      <c r="G141" s="460"/>
      <c r="H141" s="460"/>
      <c r="I141" s="460"/>
      <c r="J141" s="459"/>
    </row>
    <row r="142" spans="2:11" ht="12" hidden="1" customHeight="1" x14ac:dyDescent="0.2">
      <c r="C142" s="459"/>
      <c r="D142" s="273"/>
      <c r="E142" s="460"/>
      <c r="F142" s="460"/>
      <c r="G142" s="460"/>
      <c r="H142" s="460"/>
      <c r="I142" s="460"/>
      <c r="J142" s="459"/>
    </row>
    <row r="143" spans="2:11" ht="12" hidden="1" customHeight="1" x14ac:dyDescent="0.2">
      <c r="C143" s="459"/>
      <c r="D143" s="273"/>
      <c r="E143" s="460"/>
      <c r="F143" s="460"/>
      <c r="G143" s="460"/>
      <c r="H143" s="460"/>
      <c r="I143" s="460"/>
      <c r="J143" s="459"/>
    </row>
    <row r="144" spans="2:11" ht="12" hidden="1" customHeight="1" x14ac:dyDescent="0.2">
      <c r="C144" s="459"/>
      <c r="D144" s="273"/>
      <c r="E144" s="460"/>
      <c r="F144" s="460"/>
      <c r="G144" s="460"/>
      <c r="H144" s="460"/>
      <c r="I144" s="460"/>
      <c r="J144" s="459"/>
    </row>
    <row r="145" spans="3:10" ht="12" hidden="1" customHeight="1" x14ac:dyDescent="0.2">
      <c r="C145" s="459"/>
      <c r="D145" s="273"/>
      <c r="E145" s="460"/>
      <c r="F145" s="460"/>
      <c r="G145" s="460"/>
      <c r="H145" s="460"/>
      <c r="I145" s="460"/>
      <c r="J145" s="459"/>
    </row>
    <row r="146" spans="3:10" ht="12" hidden="1" customHeight="1" x14ac:dyDescent="0.2">
      <c r="C146" s="459"/>
      <c r="D146" s="273"/>
      <c r="E146" s="460"/>
      <c r="F146" s="460"/>
      <c r="G146" s="460"/>
      <c r="H146" s="460"/>
      <c r="I146" s="460"/>
      <c r="J146" s="459"/>
    </row>
    <row r="147" spans="3:10" ht="12" hidden="1" customHeight="1" x14ac:dyDescent="0.2">
      <c r="C147" s="459"/>
      <c r="D147" s="273"/>
      <c r="E147" s="460"/>
      <c r="F147" s="460"/>
      <c r="G147" s="460"/>
      <c r="H147" s="460"/>
      <c r="I147" s="460"/>
      <c r="J147" s="459"/>
    </row>
    <row r="148" spans="3:10" ht="12" hidden="1" customHeight="1" x14ac:dyDescent="0.2">
      <c r="C148" s="459"/>
      <c r="D148" s="273"/>
      <c r="E148" s="460"/>
      <c r="F148" s="460"/>
      <c r="G148" s="460"/>
      <c r="H148" s="460"/>
      <c r="I148" s="460"/>
      <c r="J148" s="459"/>
    </row>
  </sheetData>
  <conditionalFormatting sqref="C70:I70">
    <cfRule type="expression" dxfId="3" priority="3">
      <formula>SUM($E$70:$I$70)=0</formula>
    </cfRule>
  </conditionalFormatting>
  <conditionalFormatting sqref="C128:I128">
    <cfRule type="expression" dxfId="2" priority="2">
      <formula>SUM($E$128:$I$128)=0</formula>
    </cfRule>
  </conditionalFormatting>
  <conditionalFormatting sqref="C129:I136">
    <cfRule type="expression" dxfId="1" priority="1">
      <formula>SUM($E$129:$I$136)=0</formula>
    </cfRule>
  </conditionalFormatting>
  <pageMargins left="0.7" right="0.7" top="0.75" bottom="0.75" header="0.3" footer="0.3"/>
  <pageSetup scale="95" orientation="portrait" horizontalDpi="4294967295" verticalDpi="4294967295" r:id="rId1"/>
  <headerFooter>
    <oddFooter>&amp;C&amp;7&amp;B&amp;"Arial"Document Classification: KPMG Confidential</oddFooter>
  </headerFooter>
  <colBreaks count="1" manualBreakCount="1">
    <brk id="9"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4"/>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15</v>
      </c>
      <c r="B2">
        <v>1</v>
      </c>
      <c r="C2">
        <v>19</v>
      </c>
      <c r="D2">
        <v>12</v>
      </c>
      <c r="E2" t="s">
        <v>616</v>
      </c>
    </row>
    <row r="3" spans="1:5" x14ac:dyDescent="0.2">
      <c r="A3">
        <v>15</v>
      </c>
      <c r="B3">
        <v>1</v>
      </c>
      <c r="C3">
        <v>19</v>
      </c>
      <c r="D3">
        <v>12</v>
      </c>
      <c r="E3" t="s">
        <v>616</v>
      </c>
    </row>
    <row r="4" spans="1:5" x14ac:dyDescent="0.2">
      <c r="A4">
        <v>15</v>
      </c>
      <c r="B4">
        <v>1</v>
      </c>
      <c r="C4">
        <v>19</v>
      </c>
      <c r="D4">
        <v>12</v>
      </c>
      <c r="E4" t="s">
        <v>616</v>
      </c>
    </row>
  </sheetData>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E2"/>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2</v>
      </c>
      <c r="B2">
        <v>6</v>
      </c>
      <c r="C2">
        <v>13</v>
      </c>
      <c r="D2">
        <v>15</v>
      </c>
      <c r="E2" t="s">
        <v>621</v>
      </c>
    </row>
  </sheetData>
  <pageMargins left="0.7" right="0.7" top="0.75" bottom="0.75" header="0.3" footer="0.3"/>
  <pageSetup paperSize="9"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2"/>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v>
      </c>
      <c r="B2">
        <v>1</v>
      </c>
      <c r="C2">
        <v>82</v>
      </c>
      <c r="D2">
        <v>6</v>
      </c>
      <c r="E2" t="s">
        <v>608</v>
      </c>
    </row>
  </sheetData>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E2"/>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v>
      </c>
      <c r="B2">
        <v>1</v>
      </c>
      <c r="C2">
        <v>82</v>
      </c>
      <c r="D2">
        <v>13</v>
      </c>
      <c r="E2" t="s">
        <v>609</v>
      </c>
    </row>
  </sheetData>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E3"/>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v>
      </c>
      <c r="B2">
        <v>1</v>
      </c>
      <c r="C2">
        <v>82</v>
      </c>
      <c r="D2">
        <v>10</v>
      </c>
      <c r="E2" t="s">
        <v>610</v>
      </c>
    </row>
    <row r="3" spans="1:5" x14ac:dyDescent="0.2">
      <c r="A3">
        <v>1</v>
      </c>
      <c r="B3">
        <v>32</v>
      </c>
      <c r="C3">
        <v>82</v>
      </c>
      <c r="D3">
        <v>41</v>
      </c>
      <c r="E3" t="s">
        <v>611</v>
      </c>
    </row>
  </sheetData>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3"/>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v>
      </c>
      <c r="B2">
        <v>1</v>
      </c>
      <c r="C2">
        <v>94</v>
      </c>
      <c r="D2">
        <v>7</v>
      </c>
      <c r="E2" t="s">
        <v>612</v>
      </c>
    </row>
    <row r="3" spans="1:5" x14ac:dyDescent="0.2">
      <c r="A3">
        <v>1</v>
      </c>
      <c r="B3">
        <v>9</v>
      </c>
      <c r="C3">
        <v>94</v>
      </c>
      <c r="D3">
        <v>15</v>
      </c>
      <c r="E3" t="s">
        <v>613</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7315ED-8BDD-4122-92E5-EC6C19C51968}">
  <sheetPr>
    <tabColor rgb="FF0000FF"/>
    <outlinePr summaryBelow="0"/>
  </sheetPr>
  <dimension ref="A1:S117"/>
  <sheetViews>
    <sheetView showGridLines="0" tabSelected="1" zoomScaleNormal="100" workbookViewId="0">
      <pane ySplit="8" topLeftCell="A9" activePane="bottomLeft" state="frozen"/>
      <selection pane="bottomLeft" activeCell="K4" sqref="K4"/>
    </sheetView>
  </sheetViews>
  <sheetFormatPr defaultColWidth="0" defaultRowHeight="11.25" x14ac:dyDescent="0.2"/>
  <cols>
    <col min="1" max="1" width="2.85546875" style="2" customWidth="1"/>
    <col min="2" max="2" width="8.42578125" style="270" hidden="1" customWidth="1"/>
    <col min="3" max="3" width="40.42578125" style="2" customWidth="1"/>
    <col min="4" max="4" width="44.85546875" style="2" hidden="1" customWidth="1"/>
    <col min="5" max="9" width="10.7109375" style="2" hidden="1" customWidth="1"/>
    <col min="10" max="10" width="16.85546875" style="2" customWidth="1"/>
    <col min="11" max="14" width="10.7109375" style="2" customWidth="1"/>
    <col min="15" max="15" width="2.85546875" style="2" customWidth="1"/>
    <col min="16" max="16" width="9.140625" style="2" customWidth="1"/>
    <col min="17" max="19" width="0" style="2" hidden="1" customWidth="1"/>
    <col min="20" max="16384" width="9.140625" style="2" hidden="1"/>
  </cols>
  <sheetData>
    <row r="1" spans="1:19" x14ac:dyDescent="0.2">
      <c r="A1" s="190"/>
      <c r="B1" s="193"/>
      <c r="C1" s="190"/>
      <c r="D1" s="190"/>
      <c r="E1" s="190"/>
      <c r="F1" s="190"/>
      <c r="G1" s="190"/>
      <c r="H1" s="190"/>
      <c r="I1" s="190"/>
      <c r="J1" s="190"/>
      <c r="K1" s="190"/>
      <c r="L1" s="190"/>
      <c r="M1" s="190"/>
      <c r="N1" s="190"/>
      <c r="O1" s="190"/>
      <c r="P1" s="190"/>
      <c r="Q1" s="190"/>
      <c r="R1" s="190"/>
      <c r="S1" s="190"/>
    </row>
    <row r="2" spans="1:19" ht="21" customHeight="1" x14ac:dyDescent="0.2">
      <c r="A2" s="190"/>
      <c r="B2" s="193" t="str">
        <f>CONCATENATE("Analysis of financial results: ",Aktíva!E1)</f>
        <v xml:space="preserve">Analysis of financial results: </v>
      </c>
      <c r="C2" s="374" t="str">
        <f>CONCATENATE("Analysis of financial statements: ",Title!C17)</f>
        <v xml:space="preserve">Analysis of financial statements: </v>
      </c>
      <c r="D2" s="545" t="str">
        <f>CONCATENATE("Projekcia konsolidovaných finančných výsledkov: ",Title!C16)</f>
        <v xml:space="preserve">Projekcia konsolidovaných finančných výsledkov: </v>
      </c>
      <c r="E2" s="190"/>
      <c r="F2" s="190"/>
      <c r="G2" s="190"/>
      <c r="H2" s="190"/>
      <c r="I2" s="190"/>
      <c r="J2" s="694">
        <f>Assumptions!E14</f>
        <v>2025</v>
      </c>
      <c r="K2" s="694">
        <f>J2+1</f>
        <v>2026</v>
      </c>
      <c r="L2" s="694">
        <f t="shared" ref="L2:N2" si="0">K2+1</f>
        <v>2027</v>
      </c>
      <c r="M2" s="694">
        <f t="shared" si="0"/>
        <v>2028</v>
      </c>
      <c r="N2" s="694">
        <f t="shared" si="0"/>
        <v>2029</v>
      </c>
      <c r="O2" s="190"/>
      <c r="P2" s="190"/>
      <c r="Q2" s="190"/>
      <c r="R2" s="190"/>
      <c r="S2" s="190"/>
    </row>
    <row r="3" spans="1:19" s="273" customFormat="1" ht="11.25" customHeight="1" x14ac:dyDescent="0.2">
      <c r="B3" s="289"/>
    </row>
    <row r="4" spans="1:19" ht="11.25" customHeight="1" x14ac:dyDescent="0.2">
      <c r="C4" s="6" t="s">
        <v>851</v>
      </c>
      <c r="D4" s="6" t="s">
        <v>852</v>
      </c>
      <c r="F4" s="376">
        <v>1</v>
      </c>
      <c r="G4" s="377" t="s">
        <v>41</v>
      </c>
      <c r="J4" s="5" t="s">
        <v>1577</v>
      </c>
      <c r="K4" s="376" t="s">
        <v>899</v>
      </c>
      <c r="L4" s="183"/>
      <c r="M4" s="183"/>
      <c r="N4" s="183"/>
    </row>
    <row r="5" spans="1:19" ht="11.25" customHeight="1" x14ac:dyDescent="0.2">
      <c r="C5" s="185"/>
      <c r="D5" s="185"/>
      <c r="E5" s="1447">
        <v>5</v>
      </c>
      <c r="F5" s="1447">
        <v>4</v>
      </c>
      <c r="G5" s="1447">
        <v>3</v>
      </c>
      <c r="H5" s="1447">
        <v>2</v>
      </c>
      <c r="I5" s="1448"/>
      <c r="J5" s="186"/>
      <c r="K5" s="186"/>
      <c r="L5" s="186"/>
      <c r="M5" s="186"/>
      <c r="N5" s="186"/>
    </row>
    <row r="6" spans="1:19" ht="19.5" customHeight="1" x14ac:dyDescent="0.2">
      <c r="B6" s="109" t="s">
        <v>18</v>
      </c>
      <c r="C6" s="109" t="s">
        <v>793</v>
      </c>
      <c r="D6" s="1203" t="s">
        <v>44</v>
      </c>
      <c r="E6" s="1204"/>
      <c r="F6" s="1204"/>
      <c r="G6" s="1204"/>
      <c r="H6" s="1204"/>
      <c r="I6" s="1129"/>
      <c r="J6" s="1204"/>
      <c r="K6" s="1204"/>
      <c r="L6" s="1204"/>
      <c r="M6" s="1129"/>
      <c r="N6" s="1129"/>
      <c r="P6" s="2" t="s">
        <v>1486</v>
      </c>
    </row>
    <row r="7" spans="1:19" ht="11.25" customHeight="1" x14ac:dyDescent="0.2">
      <c r="A7" s="271"/>
      <c r="B7" s="272"/>
      <c r="C7" s="60" t="str">
        <f>'Detailné výkazy'!C7</f>
        <v xml:space="preserve">€  </v>
      </c>
      <c r="D7" s="60"/>
      <c r="E7" s="1481" t="str">
        <f t="shared" ref="E7:G7" si="1">"FY"&amp;RIGHT($J$2,2)-E$5</f>
        <v>FY20</v>
      </c>
      <c r="F7" s="1481" t="str">
        <f t="shared" si="1"/>
        <v>FY21</v>
      </c>
      <c r="G7" s="1481" t="str">
        <f t="shared" si="1"/>
        <v>FY22</v>
      </c>
      <c r="H7" s="1481" t="str">
        <f>"FY"&amp;RIGHT($J$2,2)-H$5</f>
        <v>FY23</v>
      </c>
      <c r="I7" s="1482" t="str">
        <f>"FY"&amp;RIGHT($J$2,2)-1</f>
        <v>FY24</v>
      </c>
      <c r="J7" s="1481" t="str">
        <f>"FY"&amp;RIGHT(J2,2)</f>
        <v>FY25</v>
      </c>
      <c r="K7" s="1481" t="str">
        <f t="shared" ref="K7:N7" si="2">"FY"&amp;RIGHT(K2,2)</f>
        <v>FY26</v>
      </c>
      <c r="L7" s="1481" t="str">
        <f t="shared" si="2"/>
        <v>FY27</v>
      </c>
      <c r="M7" s="1481" t="str">
        <f t="shared" si="2"/>
        <v>FY28</v>
      </c>
      <c r="N7" s="1483" t="str">
        <f t="shared" si="2"/>
        <v>FY29</v>
      </c>
      <c r="P7" s="1614" t="s">
        <v>899</v>
      </c>
    </row>
    <row r="8" spans="1:19" ht="11.25" customHeight="1" x14ac:dyDescent="0.2">
      <c r="A8" s="271"/>
      <c r="B8" s="274"/>
      <c r="C8" s="638"/>
      <c r="D8" s="638" t="str">
        <f>'Detailné výkazy'!C7</f>
        <v xml:space="preserve">€  </v>
      </c>
      <c r="E8" s="1446" t="s">
        <v>1308</v>
      </c>
      <c r="F8" s="1446" t="s">
        <v>1308</v>
      </c>
      <c r="G8" s="1446" t="s">
        <v>1308</v>
      </c>
      <c r="H8" s="1446" t="s">
        <v>1308</v>
      </c>
      <c r="I8" s="1482" t="s">
        <v>1309</v>
      </c>
      <c r="J8" s="1446" t="s">
        <v>1309</v>
      </c>
      <c r="K8" s="1446" t="s">
        <v>1309</v>
      </c>
      <c r="L8" s="1446" t="s">
        <v>1309</v>
      </c>
      <c r="M8" s="1446" t="s">
        <v>1309</v>
      </c>
      <c r="N8" s="1482" t="s">
        <v>1309</v>
      </c>
      <c r="P8" s="1614" t="s">
        <v>900</v>
      </c>
    </row>
    <row r="9" spans="1:19" ht="11.25" customHeight="1" x14ac:dyDescent="0.2">
      <c r="A9" s="273"/>
      <c r="B9" s="274"/>
      <c r="C9" s="118" t="s">
        <v>19</v>
      </c>
      <c r="D9" s="147" t="s">
        <v>45</v>
      </c>
      <c r="E9" s="1003"/>
      <c r="F9" s="1003"/>
      <c r="G9" s="1003"/>
      <c r="H9" s="1003"/>
      <c r="I9" s="1229"/>
      <c r="J9" s="1004"/>
      <c r="K9" s="1004"/>
      <c r="L9" s="1004"/>
      <c r="M9" s="1004"/>
      <c r="N9" s="1393"/>
    </row>
    <row r="10" spans="1:19" ht="11.25" customHeight="1" x14ac:dyDescent="0.2">
      <c r="B10" s="274">
        <v>1</v>
      </c>
      <c r="C10" s="119" t="s">
        <v>20</v>
      </c>
      <c r="D10" s="1351" t="s">
        <v>487</v>
      </c>
      <c r="E10" s="196">
        <f>SUMIF('Výkaz ziskov a strát'!A:A,B10,'Výkaz ziskov a strát'!O:O)/Units</f>
        <v>0</v>
      </c>
      <c r="F10" s="196">
        <f>SUMIF('Výkaz ziskov a strát'!A:A,B10,'Výkaz ziskov a strát'!N:N)/Units</f>
        <v>0</v>
      </c>
      <c r="G10" s="196">
        <f>SUMIF('Výkaz ziskov a strát'!A:A,B10,'Výkaz ziskov a strát'!M:M)/Units</f>
        <v>0</v>
      </c>
      <c r="H10" s="196">
        <f>SUMIF('Výkaz ziskov a strát'!A:A,B10,'Výkaz ziskov a strát'!L:L)/Units</f>
        <v>0</v>
      </c>
      <c r="I10" s="197">
        <f>SUMIF('Výkaz ziskov a strát'!A:A,B10,'Výkaz ziskov a strát'!K:K)/Units</f>
        <v>0</v>
      </c>
      <c r="J10" s="1402">
        <f>Assumptions!H66</f>
        <v>0</v>
      </c>
      <c r="K10" s="1402">
        <f>Assumptions!I66</f>
        <v>0</v>
      </c>
      <c r="L10" s="1402">
        <f>Assumptions!J66</f>
        <v>0</v>
      </c>
      <c r="M10" s="1402">
        <f>Assumptions!K66</f>
        <v>0</v>
      </c>
      <c r="N10" s="1403">
        <f>Assumptions!L66</f>
        <v>0</v>
      </c>
      <c r="O10" s="950"/>
    </row>
    <row r="11" spans="1:19" ht="11.25" customHeight="1" x14ac:dyDescent="0.2">
      <c r="B11" s="274">
        <v>2</v>
      </c>
      <c r="C11" s="119" t="s">
        <v>21</v>
      </c>
      <c r="D11" s="1352" t="s">
        <v>622</v>
      </c>
      <c r="E11" s="1345">
        <f>SUMIF('Výkaz ziskov a strát'!A:A,B11,'Výkaz ziskov a strát'!O:O)/Units</f>
        <v>0</v>
      </c>
      <c r="F11" s="1345">
        <f>SUMIF('Výkaz ziskov a strát'!A:A,B11,'Výkaz ziskov a strát'!N:N)/Units</f>
        <v>0</v>
      </c>
      <c r="G11" s="1345">
        <f>SUMIF('Výkaz ziskov a strát'!A:A,B11,'Výkaz ziskov a strát'!M:M)/Units</f>
        <v>0</v>
      </c>
      <c r="H11" s="1345">
        <f>SUMIF('Výkaz ziskov a strát'!A:A,B11,'Výkaz ziskov a strát'!L:L)/Units</f>
        <v>0</v>
      </c>
      <c r="I11" s="1364">
        <f>SUMIF('Výkaz ziskov a strát'!A:A,B11,'Výkaz ziskov a strát'!K:K)/Units</f>
        <v>0</v>
      </c>
      <c r="J11" s="1404">
        <f>Assumptions!H58</f>
        <v>1264875</v>
      </c>
      <c r="K11" s="1404">
        <f>Assumptions!I58</f>
        <v>2188087.6874999995</v>
      </c>
      <c r="L11" s="1404">
        <f>Assumptions!J58</f>
        <v>2938382.955543749</v>
      </c>
      <c r="M11" s="1404">
        <f>Assumptions!K58</f>
        <v>3642419.5116920313</v>
      </c>
      <c r="N11" s="1475">
        <f>Assumptions!L58</f>
        <v>4515143.2266934412</v>
      </c>
      <c r="O11" s="950"/>
    </row>
    <row r="12" spans="1:19" s="3" customFormat="1" ht="11.25" customHeight="1" x14ac:dyDescent="0.2">
      <c r="B12" s="277"/>
      <c r="C12" s="125"/>
      <c r="D12" s="1353"/>
      <c r="E12" s="206">
        <f>SUM(E10:E11)</f>
        <v>0</v>
      </c>
      <c r="F12" s="206">
        <f t="shared" ref="F12:H12" si="3">SUM(F10:F11)</f>
        <v>0</v>
      </c>
      <c r="G12" s="206">
        <f t="shared" si="3"/>
        <v>0</v>
      </c>
      <c r="H12" s="206">
        <f t="shared" si="3"/>
        <v>0</v>
      </c>
      <c r="I12" s="1365">
        <f>SUM(I10:I11)</f>
        <v>0</v>
      </c>
      <c r="J12" s="921">
        <f t="shared" ref="J12" si="4">SUM(J10:J11)</f>
        <v>1264875</v>
      </c>
      <c r="K12" s="921">
        <f t="shared" ref="K12:N12" si="5">SUM(K10:K11)</f>
        <v>2188087.6874999995</v>
      </c>
      <c r="L12" s="921">
        <f t="shared" si="5"/>
        <v>2938382.955543749</v>
      </c>
      <c r="M12" s="921">
        <f t="shared" si="5"/>
        <v>3642419.5116920313</v>
      </c>
      <c r="N12" s="954">
        <f t="shared" si="5"/>
        <v>4515143.2266934412</v>
      </c>
      <c r="O12" s="951"/>
      <c r="P12" s="1474">
        <f>(N12/J12)^(1/(29-25))-1</f>
        <v>0.3745355626298652</v>
      </c>
    </row>
    <row r="13" spans="1:19" s="3" customFormat="1" ht="11.25" customHeight="1" x14ac:dyDescent="0.2">
      <c r="B13" s="277"/>
      <c r="C13" s="696"/>
      <c r="D13" s="1354" t="s">
        <v>926</v>
      </c>
      <c r="E13" s="206"/>
      <c r="F13" s="697"/>
      <c r="G13" s="697"/>
      <c r="H13" s="697"/>
      <c r="I13" s="1366"/>
      <c r="J13" s="1128">
        <v>0</v>
      </c>
      <c r="K13" s="919">
        <f t="shared" ref="K13:N13" si="6">K12/J12-1</f>
        <v>0.7298845241624663</v>
      </c>
      <c r="L13" s="919">
        <f t="shared" si="6"/>
        <v>0.34289999999999976</v>
      </c>
      <c r="M13" s="919">
        <f t="shared" si="6"/>
        <v>0.23960000000000004</v>
      </c>
      <c r="N13" s="952">
        <f t="shared" si="6"/>
        <v>0.23959999999999981</v>
      </c>
      <c r="O13" s="951"/>
    </row>
    <row r="14" spans="1:19" s="3" customFormat="1" ht="11.25" customHeight="1" x14ac:dyDescent="0.2">
      <c r="B14" s="277"/>
      <c r="C14" s="118" t="s">
        <v>843</v>
      </c>
      <c r="D14" s="1355" t="s">
        <v>48</v>
      </c>
      <c r="E14" s="697"/>
      <c r="F14" s="697"/>
      <c r="G14" s="697"/>
      <c r="H14" s="697"/>
      <c r="I14" s="1366"/>
      <c r="J14" s="908"/>
      <c r="K14" s="908"/>
      <c r="L14" s="908"/>
      <c r="M14" s="908"/>
      <c r="N14" s="1394"/>
    </row>
    <row r="15" spans="1:19" ht="11.25" customHeight="1" x14ac:dyDescent="0.2">
      <c r="B15" s="274">
        <v>3</v>
      </c>
      <c r="C15" s="68" t="s">
        <v>1441</v>
      </c>
      <c r="D15" s="1356" t="s">
        <v>623</v>
      </c>
      <c r="E15" s="196">
        <f>SUMIF('Výkaz ziskov a strát'!A:A,B15,'Výkaz ziskov a strát'!O:O)/Units</f>
        <v>0</v>
      </c>
      <c r="F15" s="196">
        <f>SUMIF('Výkaz ziskov a strát'!A:A,B15,'Výkaz ziskov a strát'!N:N)/Units</f>
        <v>0</v>
      </c>
      <c r="G15" s="196">
        <f>SUMIF('Výkaz ziskov a strát'!A:A,B15,'Výkaz ziskov a strát'!M:M)/Units</f>
        <v>0</v>
      </c>
      <c r="H15" s="196">
        <f>SUMIF('Výkaz ziskov a strát'!A:A,B15,'Výkaz ziskov a strát'!L:L)/Units</f>
        <v>0</v>
      </c>
      <c r="I15" s="1367">
        <f>SUMIF('Výkaz ziskov a strát'!A:A,B15,'Výkaz ziskov a strát'!K:K)/Units</f>
        <v>0</v>
      </c>
      <c r="J15" s="1402">
        <f>-Assumptions!H73-Assumptions!H75</f>
        <v>-451560.375</v>
      </c>
      <c r="K15" s="1402">
        <f>-Assumptions!I73-Assumptions!I75</f>
        <v>-781147.30443749984</v>
      </c>
      <c r="L15" s="1402">
        <f>-Assumptions!J73-Assumptions!J75</f>
        <v>-1049002.7151291184</v>
      </c>
      <c r="M15" s="1402">
        <f>-Assumptions!K73-Assumptions!K75</f>
        <v>-1300343.7656740551</v>
      </c>
      <c r="N15" s="1403">
        <f>-Assumptions!L73-Assumptions!L75</f>
        <v>-1611906.1319295582</v>
      </c>
    </row>
    <row r="16" spans="1:19" ht="11.25" customHeight="1" x14ac:dyDescent="0.2">
      <c r="B16" s="274">
        <v>4</v>
      </c>
      <c r="C16" s="75" t="s">
        <v>782</v>
      </c>
      <c r="D16" s="75" t="s">
        <v>624</v>
      </c>
      <c r="E16" s="196">
        <f>SUMIF('Výkaz ziskov a strát'!A:A,B16,'Výkaz ziskov a strát'!O:O)/Units</f>
        <v>0</v>
      </c>
      <c r="F16" s="196">
        <f>SUMIF('Výkaz ziskov a strát'!A:A,B16,'Výkaz ziskov a strát'!N:N)/Units</f>
        <v>0</v>
      </c>
      <c r="G16" s="196">
        <f>SUMIF('Výkaz ziskov a strát'!A:A,B16,'Výkaz ziskov a strát'!M:M)/Units</f>
        <v>0</v>
      </c>
      <c r="H16" s="196">
        <f>SUMIF('Výkaz ziskov a strát'!A:A,B16,'Výkaz ziskov a strát'!L:L)/Units</f>
        <v>0</v>
      </c>
      <c r="I16" s="197">
        <f>SUMIF('Výkaz ziskov a strát'!A:A,B16,'Výkaz ziskov a strát'!K:K)/Units</f>
        <v>0</v>
      </c>
      <c r="J16" s="1402">
        <f>-Assumptions!H74</f>
        <v>-25803.45</v>
      </c>
      <c r="K16" s="1402">
        <f>-Assumptions!I74</f>
        <v>-44636.988824999993</v>
      </c>
      <c r="L16" s="1402">
        <f>-Assumptions!J74</f>
        <v>-59943.012293092477</v>
      </c>
      <c r="M16" s="1402">
        <f>-Assumptions!K74</f>
        <v>-74305.358038517443</v>
      </c>
      <c r="N16" s="1403">
        <f>-Assumptions!L74</f>
        <v>-92108.921824546196</v>
      </c>
    </row>
    <row r="17" spans="1:14" ht="11.25" hidden="1" customHeight="1" x14ac:dyDescent="0.2">
      <c r="B17" s="274" t="s">
        <v>605</v>
      </c>
      <c r="C17" s="75" t="s">
        <v>783</v>
      </c>
      <c r="D17" s="75" t="s">
        <v>495</v>
      </c>
      <c r="E17" s="194">
        <f>SUMIF('Výkaz ziskov a strát'!A:A,B17,'Výkaz ziskov a strát'!O:O)/Units</f>
        <v>0</v>
      </c>
      <c r="F17" s="194">
        <f>SUMIF('Výkaz ziskov a strát'!A:A,B17,'Výkaz ziskov a strát'!N:N)/Units</f>
        <v>0</v>
      </c>
      <c r="G17" s="194">
        <f>SUMIF('Výkaz ziskov a strát'!A:A,B17,'Výkaz ziskov a strát'!M:M)/Units</f>
        <v>0</v>
      </c>
      <c r="H17" s="194">
        <f>SUMIF('Výkaz ziskov a strát'!A:A,B17,'Výkaz ziskov a strát'!L:L)/Units</f>
        <v>0</v>
      </c>
      <c r="I17" s="195">
        <f>SUMIF('Výkaz ziskov a strát'!A:A,B17,'Výkaz ziskov a strát'!K:K)/Units</f>
        <v>0</v>
      </c>
      <c r="J17" s="1398">
        <v>0</v>
      </c>
      <c r="K17" s="1398">
        <v>0</v>
      </c>
      <c r="L17" s="1398">
        <v>0</v>
      </c>
      <c r="M17" s="1398">
        <v>0</v>
      </c>
      <c r="N17" s="1399">
        <v>0</v>
      </c>
    </row>
    <row r="18" spans="1:14" ht="11.25" hidden="1" customHeight="1" x14ac:dyDescent="0.2">
      <c r="B18" s="274" t="s">
        <v>606</v>
      </c>
      <c r="C18" s="119" t="s">
        <v>794</v>
      </c>
      <c r="D18" s="119" t="s">
        <v>497</v>
      </c>
      <c r="E18" s="194">
        <f>SUMIF('Výkaz ziskov a strát'!A:A,B18,'Výkaz ziskov a strát'!O:O)/Units</f>
        <v>0</v>
      </c>
      <c r="F18" s="194">
        <f>SUMIF('Výkaz ziskov a strát'!A:A,B18,'Výkaz ziskov a strát'!N:N)/Units</f>
        <v>0</v>
      </c>
      <c r="G18" s="194">
        <f>SUMIF('Výkaz ziskov a strát'!A:A,B18,'Výkaz ziskov a strát'!M:M)/Units</f>
        <v>0</v>
      </c>
      <c r="H18" s="194">
        <f>SUMIF('Výkaz ziskov a strát'!A:A,B18,'Výkaz ziskov a strát'!L:L)/Units</f>
        <v>0</v>
      </c>
      <c r="I18" s="195">
        <f>SUMIF('Výkaz ziskov a strát'!A:A,B18,'Výkaz ziskov a strát'!K:K)/Units</f>
        <v>0</v>
      </c>
      <c r="J18" s="1398">
        <v>0</v>
      </c>
      <c r="K18" s="1398">
        <v>0</v>
      </c>
      <c r="L18" s="1398">
        <v>0</v>
      </c>
      <c r="M18" s="1398">
        <v>0</v>
      </c>
      <c r="N18" s="1399">
        <v>0</v>
      </c>
    </row>
    <row r="19" spans="1:14" ht="11.25" hidden="1" customHeight="1" x14ac:dyDescent="0.2">
      <c r="B19" s="274">
        <v>22</v>
      </c>
      <c r="C19" s="119" t="s">
        <v>795</v>
      </c>
      <c r="D19" s="119" t="s">
        <v>638</v>
      </c>
      <c r="E19" s="194">
        <f>SUMIF('Výkaz ziskov a strát'!A:A,B19,'Výkaz ziskov a strát'!O:O)/Units</f>
        <v>0</v>
      </c>
      <c r="F19" s="194">
        <f>SUMIF('Výkaz ziskov a strát'!A:A,B19,'Výkaz ziskov a strát'!N:N)/Units</f>
        <v>0</v>
      </c>
      <c r="G19" s="194">
        <f>SUMIF('Výkaz ziskov a strát'!A:A,B19,'Výkaz ziskov a strát'!M:M)/Units</f>
        <v>0</v>
      </c>
      <c r="H19" s="194">
        <f>SUMIF('Výkaz ziskov a strát'!A:A,B19,'Výkaz ziskov a strát'!L:L)/Units</f>
        <v>0</v>
      </c>
      <c r="I19" s="1230">
        <f>SUMIF('Výkaz ziskov a strát'!A:A,B19,'Výkaz ziskov a strát'!K:K)/Units</f>
        <v>0</v>
      </c>
      <c r="J19" s="1347">
        <v>0</v>
      </c>
      <c r="K19" s="1347">
        <v>0</v>
      </c>
      <c r="L19" s="1347">
        <v>0</v>
      </c>
      <c r="M19" s="1347">
        <v>0</v>
      </c>
      <c r="N19" s="1395">
        <v>0</v>
      </c>
    </row>
    <row r="20" spans="1:14" s="3" customFormat="1" ht="11.25" customHeight="1" x14ac:dyDescent="0.2">
      <c r="A20" s="278"/>
      <c r="B20" s="277"/>
      <c r="C20" s="125"/>
      <c r="D20" s="125"/>
      <c r="E20" s="198">
        <f>SUM(E15:E19)</f>
        <v>0</v>
      </c>
      <c r="F20" s="198">
        <f t="shared" ref="F20:H20" si="7">SUM(F15:F19)</f>
        <v>0</v>
      </c>
      <c r="G20" s="198">
        <f t="shared" si="7"/>
        <v>0</v>
      </c>
      <c r="H20" s="198">
        <f t="shared" si="7"/>
        <v>0</v>
      </c>
      <c r="I20" s="1231">
        <f>SUM(I15:I19)</f>
        <v>0</v>
      </c>
      <c r="J20" s="918">
        <f>SUM(J15:J19)</f>
        <v>-477363.82500000001</v>
      </c>
      <c r="K20" s="918">
        <f>SUM(K15:K19)</f>
        <v>-825784.29326249985</v>
      </c>
      <c r="L20" s="1005">
        <f t="shared" ref="L20:M20" si="8">SUM(L15:L19)</f>
        <v>-1108945.7274222109</v>
      </c>
      <c r="M20" s="1005">
        <f t="shared" si="8"/>
        <v>-1374649.1237125725</v>
      </c>
      <c r="N20" s="1006">
        <f t="shared" ref="N20" si="9">SUM(N15:N19)</f>
        <v>-1704015.0537541045</v>
      </c>
    </row>
    <row r="21" spans="1:14" s="3" customFormat="1" ht="11.25" customHeight="1" x14ac:dyDescent="0.2">
      <c r="B21" s="277"/>
      <c r="C21" s="125" t="s">
        <v>24</v>
      </c>
      <c r="D21" s="125" t="s">
        <v>625</v>
      </c>
      <c r="E21" s="198">
        <f t="shared" ref="E21:J21" si="10">E12+E20</f>
        <v>0</v>
      </c>
      <c r="F21" s="198">
        <f t="shared" si="10"/>
        <v>0</v>
      </c>
      <c r="G21" s="198">
        <f t="shared" si="10"/>
        <v>0</v>
      </c>
      <c r="H21" s="198">
        <f t="shared" si="10"/>
        <v>0</v>
      </c>
      <c r="I21" s="207">
        <f t="shared" si="10"/>
        <v>0</v>
      </c>
      <c r="J21" s="918">
        <f t="shared" si="10"/>
        <v>787511.17500000005</v>
      </c>
      <c r="K21" s="918">
        <f t="shared" ref="K21:M21" si="11">K12+K20</f>
        <v>1362303.3942374997</v>
      </c>
      <c r="L21" s="921">
        <f t="shared" si="11"/>
        <v>1829437.2281215382</v>
      </c>
      <c r="M21" s="921">
        <f t="shared" si="11"/>
        <v>2267770.387979459</v>
      </c>
      <c r="N21" s="954">
        <f t="shared" ref="N21" si="12">N12+N20</f>
        <v>2811128.1729393369</v>
      </c>
    </row>
    <row r="22" spans="1:14" s="279" customFormat="1" ht="11.25" customHeight="1" x14ac:dyDescent="0.2">
      <c r="B22" s="280"/>
      <c r="C22" s="232" t="s">
        <v>844</v>
      </c>
      <c r="D22" s="232" t="s">
        <v>845</v>
      </c>
      <c r="E22" s="697">
        <f t="shared" ref="E22:H22" si="13">IFERROR(E21/E12,0)</f>
        <v>0</v>
      </c>
      <c r="F22" s="697">
        <f t="shared" si="13"/>
        <v>0</v>
      </c>
      <c r="G22" s="697">
        <f t="shared" si="13"/>
        <v>0</v>
      </c>
      <c r="H22" s="697">
        <f t="shared" si="13"/>
        <v>0</v>
      </c>
      <c r="I22" s="234">
        <f>IFERROR(I21/I12,0)</f>
        <v>0</v>
      </c>
      <c r="J22" s="919">
        <f t="shared" ref="J22:M22" si="14">IFERROR(J21/J12,0)</f>
        <v>0.62260000000000004</v>
      </c>
      <c r="K22" s="919">
        <f t="shared" si="14"/>
        <v>0.62260000000000004</v>
      </c>
      <c r="L22" s="919">
        <f t="shared" si="14"/>
        <v>0.62260000000000004</v>
      </c>
      <c r="M22" s="919">
        <f t="shared" si="14"/>
        <v>0.62260000000000004</v>
      </c>
      <c r="N22" s="952">
        <f t="shared" ref="N22" si="15">IFERROR(N21/N12,0)</f>
        <v>0.62260000000000004</v>
      </c>
    </row>
    <row r="23" spans="1:14" s="279" customFormat="1" ht="11.25" customHeight="1" x14ac:dyDescent="0.2">
      <c r="B23" s="280"/>
      <c r="C23" s="232"/>
      <c r="D23" s="232"/>
      <c r="E23" s="697"/>
      <c r="F23" s="697"/>
      <c r="G23" s="697"/>
      <c r="H23" s="697"/>
      <c r="I23" s="234"/>
      <c r="J23" s="908"/>
      <c r="K23" s="908"/>
      <c r="L23" s="908"/>
      <c r="M23" s="908"/>
      <c r="N23" s="1394"/>
    </row>
    <row r="24" spans="1:14" ht="11.25" customHeight="1" x14ac:dyDescent="0.2">
      <c r="B24" s="274"/>
      <c r="C24" s="118" t="s">
        <v>796</v>
      </c>
      <c r="D24" s="118" t="s">
        <v>626</v>
      </c>
      <c r="E24" s="123"/>
      <c r="F24" s="123"/>
      <c r="G24" s="123"/>
      <c r="H24" s="123"/>
      <c r="I24" s="124"/>
      <c r="J24" s="910"/>
      <c r="K24" s="910"/>
      <c r="L24" s="910"/>
      <c r="M24" s="910"/>
      <c r="N24" s="911"/>
    </row>
    <row r="25" spans="1:14" ht="11.25" customHeight="1" x14ac:dyDescent="0.2">
      <c r="B25" s="274">
        <v>6</v>
      </c>
      <c r="C25" s="75" t="s">
        <v>797</v>
      </c>
      <c r="D25" s="75" t="s">
        <v>53</v>
      </c>
      <c r="E25" s="194">
        <f>SUMIF('Výkaz ziskov a strát'!A:A,B25,'Výkaz ziskov a strát'!O:O)/Units</f>
        <v>0</v>
      </c>
      <c r="F25" s="194">
        <f>SUMIF('Výkaz ziskov a strát'!A:A,B25,'Výkaz ziskov a strát'!N:N)/Units</f>
        <v>0</v>
      </c>
      <c r="G25" s="194">
        <f>SUMIF('Výkaz ziskov a strát'!A:A,B25,'Výkaz ziskov a strát'!M:M)/Units</f>
        <v>0</v>
      </c>
      <c r="H25" s="194">
        <f>SUMIF('Výkaz ziskov a strát'!A:A,B25,'Výkaz ziskov a strát'!L:L)/Units</f>
        <v>0</v>
      </c>
      <c r="I25" s="195">
        <f>SUMIF('Výkaz ziskov a strát'!A:A,B25,'Výkaz ziskov a strát'!K:K)/Units</f>
        <v>0</v>
      </c>
      <c r="J25" s="1398">
        <f>-Assumptions!H137-(-Assumptions!H134)</f>
        <v>-328034.5</v>
      </c>
      <c r="K25" s="1398">
        <f>-Assumptions!I137-(-Assumptions!I134)</f>
        <v>-518679.88824999984</v>
      </c>
      <c r="L25" s="1398">
        <f>-Assumptions!J137-(-Assumptions!J134)</f>
        <v>-674126.35293092474</v>
      </c>
      <c r="M25" s="1398">
        <f>-Assumptions!K137-(-Assumptions!K134)</f>
        <v>-820214.78597517451</v>
      </c>
      <c r="N25" s="1399">
        <f>-Assumptions!L137-(-Assumptions!L134)</f>
        <v>-1000796.743619932</v>
      </c>
    </row>
    <row r="26" spans="1:14" ht="11.25" customHeight="1" x14ac:dyDescent="0.2">
      <c r="B26" s="274">
        <v>8</v>
      </c>
      <c r="C26" s="75" t="s">
        <v>27</v>
      </c>
      <c r="D26" s="75" t="s">
        <v>59</v>
      </c>
      <c r="E26" s="194">
        <f>SUMIF('Výkaz ziskov a strát'!A:A,B26,'Výkaz ziskov a strát'!O:O)/Units</f>
        <v>0</v>
      </c>
      <c r="F26" s="194">
        <f>SUMIF('Výkaz ziskov a strát'!A:A,B26,'Výkaz ziskov a strát'!N:N)/Units</f>
        <v>0</v>
      </c>
      <c r="G26" s="194">
        <f>SUMIF('Výkaz ziskov a strát'!A:A,B26,'Výkaz ziskov a strát'!M:M)/Units</f>
        <v>0</v>
      </c>
      <c r="H26" s="194">
        <f>SUMIF('Výkaz ziskov a strát'!A:A,B26,'Výkaz ziskov a strát'!L:L)/Units</f>
        <v>0</v>
      </c>
      <c r="I26" s="195">
        <f>SUMIF('Výkaz ziskov a strát'!A:A,B26,'Výkaz ziskov a strát'!K:K)/Units</f>
        <v>0</v>
      </c>
      <c r="J26" s="1398">
        <f>-Assumptions!H116</f>
        <v>-179267.99999999997</v>
      </c>
      <c r="K26" s="1398">
        <f>-Assumptions!I116</f>
        <v>-264033.35999999993</v>
      </c>
      <c r="L26" s="1398">
        <f>-Assumptions!J116</f>
        <v>-355042.79999999993</v>
      </c>
      <c r="M26" s="1398">
        <f>-Assumptions!K116</f>
        <v>-394805.66399999999</v>
      </c>
      <c r="N26" s="1399">
        <f>-Assumptions!L116</f>
        <v>-441176.92799999996</v>
      </c>
    </row>
    <row r="27" spans="1:14" ht="11.25" customHeight="1" x14ac:dyDescent="0.2">
      <c r="B27" s="274">
        <v>10</v>
      </c>
      <c r="C27" s="119" t="s">
        <v>28</v>
      </c>
      <c r="D27" s="119" t="s">
        <v>68</v>
      </c>
      <c r="E27" s="194">
        <f>SUMIF('Výkaz ziskov a strát'!A:A,B27,'Výkaz ziskov a strát'!O:O)/Units</f>
        <v>0</v>
      </c>
      <c r="F27" s="194">
        <f>SUMIF('Výkaz ziskov a strát'!A:A,B27,'Výkaz ziskov a strát'!N:N)/Units</f>
        <v>0</v>
      </c>
      <c r="G27" s="194">
        <f>SUMIF('Výkaz ziskov a strát'!A:A,B27,'Výkaz ziskov a strát'!M:M)/Units</f>
        <v>0</v>
      </c>
      <c r="H27" s="194">
        <f>SUMIF('Výkaz ziskov a strát'!A:A,B27,'Výkaz ziskov a strát'!L:L)/Units</f>
        <v>0</v>
      </c>
      <c r="I27" s="195">
        <f>SUMIF('Výkaz ziskov a strát'!A:A,B27,'Výkaz ziskov a strát'!K:K)/Units</f>
        <v>0</v>
      </c>
      <c r="J27" s="1398">
        <f>-Assumptions!H134</f>
        <v>-10321.380000000001</v>
      </c>
      <c r="K27" s="1398">
        <f>-Assumptions!I134</f>
        <v>-17854.795529999999</v>
      </c>
      <c r="L27" s="1398">
        <f>-Assumptions!J134</f>
        <v>-23977.204917236992</v>
      </c>
      <c r="M27" s="1398">
        <f>-Assumptions!K134</f>
        <v>-29722.143215406977</v>
      </c>
      <c r="N27" s="1399">
        <f>-Assumptions!L134</f>
        <v>-36843.568729818478</v>
      </c>
    </row>
    <row r="28" spans="1:14" ht="11.25" customHeight="1" x14ac:dyDescent="0.2">
      <c r="B28" s="274">
        <v>12</v>
      </c>
      <c r="C28" s="119" t="s">
        <v>798</v>
      </c>
      <c r="D28" s="119" t="s">
        <v>627</v>
      </c>
      <c r="E28" s="194">
        <f>SUMIF('Výkaz ziskov a strát'!A:A,B28,'Výkaz ziskov a strát'!O:O)/Units</f>
        <v>0</v>
      </c>
      <c r="F28" s="194">
        <f>SUMIF('Výkaz ziskov a strát'!A:A,B28,'Výkaz ziskov a strát'!N:N)/Units</f>
        <v>0</v>
      </c>
      <c r="G28" s="194">
        <f>SUMIF('Výkaz ziskov a strát'!A:A,B28,'Výkaz ziskov a strát'!M:M)/Units</f>
        <v>0</v>
      </c>
      <c r="H28" s="194">
        <f>SUMIF('Výkaz ziskov a strát'!A:A,B28,'Výkaz ziskov a strát'!L:L)/Units</f>
        <v>0</v>
      </c>
      <c r="I28" s="195">
        <f>SUMIF('Výkaz ziskov a strát'!A:A,B28,'Výkaz ziskov a strát'!K:K)/Units</f>
        <v>0</v>
      </c>
      <c r="J28" s="1398">
        <v>0</v>
      </c>
      <c r="K28" s="1398">
        <v>0</v>
      </c>
      <c r="L28" s="1398">
        <v>0</v>
      </c>
      <c r="M28" s="1398">
        <v>0</v>
      </c>
      <c r="N28" s="1399">
        <v>0</v>
      </c>
    </row>
    <row r="29" spans="1:14" ht="11.25" hidden="1" customHeight="1" x14ac:dyDescent="0.2">
      <c r="B29" s="274">
        <v>13</v>
      </c>
      <c r="C29" s="119" t="s">
        <v>799</v>
      </c>
      <c r="D29" s="119" t="s">
        <v>628</v>
      </c>
      <c r="E29" s="194">
        <f>SUMIF('Výkaz ziskov a strát'!A:A,B29,'Výkaz ziskov a strát'!O:O)/Units</f>
        <v>0</v>
      </c>
      <c r="F29" s="194">
        <f>SUMIF('Výkaz ziskov a strát'!A:A,B29,'Výkaz ziskov a strát'!N:N)/Units</f>
        <v>0</v>
      </c>
      <c r="G29" s="194">
        <f>SUMIF('Výkaz ziskov a strát'!A:A,B29,'Výkaz ziskov a strát'!M:M)/Units</f>
        <v>0</v>
      </c>
      <c r="H29" s="194">
        <f>SUMIF('Výkaz ziskov a strát'!A:A,B29,'Výkaz ziskov a strát'!L:L)/Units</f>
        <v>0</v>
      </c>
      <c r="I29" s="195">
        <f>SUMIF('Výkaz ziskov a strát'!A:A,B29,'Výkaz ziskov a strát'!K:K)/Units</f>
        <v>0</v>
      </c>
      <c r="J29" s="1398">
        <v>0</v>
      </c>
      <c r="K29" s="1398">
        <v>0</v>
      </c>
      <c r="L29" s="1398">
        <v>0</v>
      </c>
      <c r="M29" s="1398">
        <v>0</v>
      </c>
      <c r="N29" s="1399">
        <v>0</v>
      </c>
    </row>
    <row r="30" spans="1:14" ht="11.25" hidden="1" customHeight="1" x14ac:dyDescent="0.2">
      <c r="B30" s="274">
        <v>14</v>
      </c>
      <c r="C30" s="119" t="s">
        <v>800</v>
      </c>
      <c r="D30" s="119" t="s">
        <v>629</v>
      </c>
      <c r="E30" s="194">
        <f>SUMIF('Výkaz ziskov a strát'!A:A,B30,'Výkaz ziskov a strát'!O:O)/Units</f>
        <v>0</v>
      </c>
      <c r="F30" s="194">
        <f>SUMIF('Výkaz ziskov a strát'!A:A,B30,'Výkaz ziskov a strát'!N:N)/Units</f>
        <v>0</v>
      </c>
      <c r="G30" s="194">
        <f>SUMIF('Výkaz ziskov a strát'!A:A,B30,'Výkaz ziskov a strát'!M:M)/Units</f>
        <v>0</v>
      </c>
      <c r="H30" s="194">
        <f>SUMIF('Výkaz ziskov a strát'!A:A,B30,'Výkaz ziskov a strát'!L:L)/Units</f>
        <v>0</v>
      </c>
      <c r="I30" s="195">
        <f>SUMIF('Výkaz ziskov a strát'!A:A,B30,'Výkaz ziskov a strát'!K:K)/Units</f>
        <v>0</v>
      </c>
      <c r="J30" s="1130">
        <v>0</v>
      </c>
      <c r="K30" s="1130">
        <v>0</v>
      </c>
      <c r="L30" s="1130">
        <v>0</v>
      </c>
      <c r="M30" s="1130">
        <v>0</v>
      </c>
      <c r="N30" s="1396">
        <v>0</v>
      </c>
    </row>
    <row r="31" spans="1:14" ht="11.25" hidden="1" customHeight="1" x14ac:dyDescent="0.2">
      <c r="B31" s="274">
        <v>16</v>
      </c>
      <c r="C31" s="119" t="s">
        <v>846</v>
      </c>
      <c r="D31" s="119" t="s">
        <v>77</v>
      </c>
      <c r="E31" s="194">
        <f>SUMIF('Výkaz ziskov a strát'!A:A,B31,'Výkaz ziskov a strát'!O:O)/Units</f>
        <v>0</v>
      </c>
      <c r="F31" s="194">
        <f>SUMIF('Výkaz ziskov a strát'!A:A,B31,'Výkaz ziskov a strát'!N:N)/Units</f>
        <v>0</v>
      </c>
      <c r="G31" s="194">
        <f>SUMIF('Výkaz ziskov a strát'!A:A,B31,'Výkaz ziskov a strát'!M:M)/Units</f>
        <v>0</v>
      </c>
      <c r="H31" s="194">
        <f>SUMIF('Výkaz ziskov a strát'!A:A,B31,'Výkaz ziskov a strát'!L:L)/Units</f>
        <v>0</v>
      </c>
      <c r="I31" s="195">
        <f>SUMIF('Výkaz ziskov a strát'!A:A,B31,'Výkaz ziskov a strát'!K:K)/Units</f>
        <v>0</v>
      </c>
      <c r="J31" s="1130">
        <v>0</v>
      </c>
      <c r="K31" s="1130">
        <v>0</v>
      </c>
      <c r="L31" s="1130">
        <v>0</v>
      </c>
      <c r="M31" s="1130">
        <v>0</v>
      </c>
      <c r="N31" s="1396">
        <v>0</v>
      </c>
    </row>
    <row r="32" spans="1:14" ht="11.25" hidden="1" customHeight="1" x14ac:dyDescent="0.2">
      <c r="B32" s="274">
        <v>17</v>
      </c>
      <c r="C32" s="119" t="s">
        <v>847</v>
      </c>
      <c r="D32" s="119" t="s">
        <v>630</v>
      </c>
      <c r="E32" s="206">
        <f>SUMIF('Výkaz ziskov a strát'!A:A,B32,'Výkaz ziskov a strát'!O:O)/Units</f>
        <v>0</v>
      </c>
      <c r="F32" s="206">
        <f>SUMIF('Výkaz ziskov a strát'!A:A,B32,'Výkaz ziskov a strát'!N:N)/Units</f>
        <v>0</v>
      </c>
      <c r="G32" s="206">
        <f>SUMIF('Výkaz ziskov a strát'!A:A,B32,'Výkaz ziskov a strát'!M:M)/Units</f>
        <v>0</v>
      </c>
      <c r="H32" s="206">
        <f>SUMIF('Výkaz ziskov a strát'!A:A,B32,'Výkaz ziskov a strát'!L:L)/Units</f>
        <v>0</v>
      </c>
      <c r="I32" s="207">
        <f>SUMIF('Výkaz ziskov a strát'!A:A,B32,'Výkaz ziskov a strát'!K:K)/Units</f>
        <v>0</v>
      </c>
      <c r="J32" s="1132">
        <v>0</v>
      </c>
      <c r="K32" s="1132">
        <v>0</v>
      </c>
      <c r="L32" s="1132">
        <v>0</v>
      </c>
      <c r="M32" s="1132">
        <v>0</v>
      </c>
      <c r="N32" s="1397">
        <v>0</v>
      </c>
    </row>
    <row r="33" spans="1:14" s="3" customFormat="1" ht="11.25" customHeight="1" x14ac:dyDescent="0.2">
      <c r="A33" s="278"/>
      <c r="B33" s="277"/>
      <c r="C33" s="147"/>
      <c r="D33" s="1445"/>
      <c r="E33" s="1444">
        <f t="shared" ref="E33:H33" si="16">SUM(E25:E32)</f>
        <v>0</v>
      </c>
      <c r="F33" s="1444">
        <f t="shared" si="16"/>
        <v>0</v>
      </c>
      <c r="G33" s="1444">
        <f t="shared" si="16"/>
        <v>0</v>
      </c>
      <c r="H33" s="1444">
        <f t="shared" si="16"/>
        <v>0</v>
      </c>
      <c r="I33" s="1233">
        <f>SUM(I25:I32)</f>
        <v>0</v>
      </c>
      <c r="J33" s="1007">
        <f>SUM(J25:J32)</f>
        <v>-517623.88</v>
      </c>
      <c r="K33" s="1007">
        <f t="shared" ref="K33:M33" si="17">SUM(K25:K32)</f>
        <v>-800568.04377999972</v>
      </c>
      <c r="L33" s="1007">
        <f t="shared" si="17"/>
        <v>-1053146.3578481616</v>
      </c>
      <c r="M33" s="1007">
        <f t="shared" si="17"/>
        <v>-1244742.5931905813</v>
      </c>
      <c r="N33" s="1008">
        <f t="shared" ref="N33" si="18">SUM(N25:N32)</f>
        <v>-1478817.2403497505</v>
      </c>
    </row>
    <row r="34" spans="1:14" ht="11.25" customHeight="1" x14ac:dyDescent="0.2">
      <c r="A34" s="273"/>
      <c r="B34" s="274"/>
      <c r="C34" s="125" t="s">
        <v>1</v>
      </c>
      <c r="D34" s="696" t="s">
        <v>1</v>
      </c>
      <c r="E34" s="206">
        <f t="shared" ref="E34:I34" si="19">E33+E21</f>
        <v>0</v>
      </c>
      <c r="F34" s="206">
        <f t="shared" si="19"/>
        <v>0</v>
      </c>
      <c r="G34" s="206">
        <f t="shared" si="19"/>
        <v>0</v>
      </c>
      <c r="H34" s="206">
        <f t="shared" si="19"/>
        <v>0</v>
      </c>
      <c r="I34" s="207">
        <f t="shared" si="19"/>
        <v>0</v>
      </c>
      <c r="J34" s="921">
        <f>J33+J21</f>
        <v>269887.29500000004</v>
      </c>
      <c r="K34" s="921">
        <f t="shared" ref="K34:M34" si="20">K33+K21</f>
        <v>561735.35045749997</v>
      </c>
      <c r="L34" s="921">
        <f t="shared" si="20"/>
        <v>776290.87027337658</v>
      </c>
      <c r="M34" s="921">
        <f t="shared" si="20"/>
        <v>1023027.7947888777</v>
      </c>
      <c r="N34" s="954">
        <f t="shared" ref="N34" si="21">N33+N21</f>
        <v>1332310.9325895864</v>
      </c>
    </row>
    <row r="35" spans="1:14" s="279" customFormat="1" ht="11.25" customHeight="1" x14ac:dyDescent="0.2">
      <c r="A35" s="281"/>
      <c r="B35" s="280"/>
      <c r="C35" s="236" t="s">
        <v>848</v>
      </c>
      <c r="D35" s="236" t="s">
        <v>849</v>
      </c>
      <c r="E35" s="123">
        <f t="shared" ref="E35:I35" si="22">IFERROR(E34/E12,0)</f>
        <v>0</v>
      </c>
      <c r="F35" s="123">
        <f t="shared" si="22"/>
        <v>0</v>
      </c>
      <c r="G35" s="123">
        <f t="shared" si="22"/>
        <v>0</v>
      </c>
      <c r="H35" s="123">
        <f t="shared" si="22"/>
        <v>0</v>
      </c>
      <c r="I35" s="124">
        <f t="shared" si="22"/>
        <v>0</v>
      </c>
      <c r="J35" s="922">
        <f>IFERROR(J34/J12,0)</f>
        <v>0.21337072437987947</v>
      </c>
      <c r="K35" s="922">
        <f t="shared" ref="K35:M35" si="23">IFERROR(K34/K12,0)</f>
        <v>0.25672433224068408</v>
      </c>
      <c r="L35" s="922">
        <f t="shared" si="23"/>
        <v>0.26418982209544012</v>
      </c>
      <c r="M35" s="922">
        <f t="shared" si="23"/>
        <v>0.28086490079053128</v>
      </c>
      <c r="N35" s="955">
        <f t="shared" ref="N35" si="24">IFERROR(N34/N12,0)</f>
        <v>0.29507611734506878</v>
      </c>
    </row>
    <row r="36" spans="1:14" s="279" customFormat="1" ht="11.25" customHeight="1" x14ac:dyDescent="0.2">
      <c r="A36" s="281"/>
      <c r="B36" s="280"/>
      <c r="C36" s="236"/>
      <c r="D36" s="236"/>
      <c r="E36" s="123"/>
      <c r="F36" s="123"/>
      <c r="G36" s="123"/>
      <c r="H36" s="194"/>
      <c r="I36" s="124"/>
      <c r="J36" s="910"/>
      <c r="K36" s="910"/>
      <c r="L36" s="910"/>
      <c r="M36" s="910"/>
      <c r="N36" s="911"/>
    </row>
    <row r="37" spans="1:14" ht="11.25" customHeight="1" x14ac:dyDescent="0.2">
      <c r="A37" s="273"/>
      <c r="B37" s="274">
        <v>23</v>
      </c>
      <c r="C37" s="119" t="s">
        <v>802</v>
      </c>
      <c r="D37" s="119" t="s">
        <v>631</v>
      </c>
      <c r="E37" s="194">
        <f>SUMIF('Výkaz ziskov a strát'!A:A,B37,'Výkaz ziskov a strát'!O:O)/Units</f>
        <v>0</v>
      </c>
      <c r="F37" s="194">
        <f>SUMIF('Výkaz ziskov a strát'!A:A,B37,'Výkaz ziskov a strát'!N:N)/Units</f>
        <v>0</v>
      </c>
      <c r="G37" s="194">
        <f>SUMIF('Výkaz ziskov a strát'!A:A,B37,'Výkaz ziskov a strát'!M:M)/Units</f>
        <v>0</v>
      </c>
      <c r="H37" s="194">
        <f>SUMIF('Výkaz ziskov a strát'!A:A,B37,'Výkaz ziskov a strát'!L:L)/Units</f>
        <v>0</v>
      </c>
      <c r="I37" s="195">
        <f>SUMIF('Výkaz ziskov a strát'!A:A,B37,'Výkaz ziskov a strát'!K:K)/Units</f>
        <v>0</v>
      </c>
      <c r="J37" s="1462">
        <v>0</v>
      </c>
      <c r="K37" s="1462">
        <v>0</v>
      </c>
      <c r="L37" s="1462">
        <v>0</v>
      </c>
      <c r="M37" s="1462">
        <v>0</v>
      </c>
      <c r="N37" s="1463">
        <v>0</v>
      </c>
    </row>
    <row r="38" spans="1:14" ht="11.25" customHeight="1" x14ac:dyDescent="0.2">
      <c r="B38" s="274">
        <v>20</v>
      </c>
      <c r="C38" s="119" t="s">
        <v>31</v>
      </c>
      <c r="D38" s="1206" t="s">
        <v>79</v>
      </c>
      <c r="E38" s="850">
        <f>SUMIF('Výkaz ziskov a strát'!A:A,B38,'Výkaz ziskov a strát'!O:O)/Units</f>
        <v>0</v>
      </c>
      <c r="F38" s="850">
        <f>SUMIF('Výkaz ziskov a strát'!A:A,B38,'Výkaz ziskov a strát'!N:N)/Units</f>
        <v>0</v>
      </c>
      <c r="G38" s="850">
        <f>SUMIF('Výkaz ziskov a strát'!A:A,B38,'Výkaz ziskov a strát'!M:M)/Units</f>
        <v>0</v>
      </c>
      <c r="H38" s="850">
        <f>SUMIF('Výkaz ziskov a strát'!A:A,B38,'Výkaz ziskov a strát'!L:L)/Units</f>
        <v>0</v>
      </c>
      <c r="I38" s="1230">
        <f>SUMIF('Výkaz ziskov a strát'!A:A,B38,'Výkaz ziskov a strát'!K:K)/Units</f>
        <v>0</v>
      </c>
      <c r="J38" s="1400">
        <f>-Assumptions!H173</f>
        <v>-6666.666666666667</v>
      </c>
      <c r="K38" s="1400">
        <f>-Assumptions!I173</f>
        <v>-9166.6666666666679</v>
      </c>
      <c r="L38" s="1400">
        <f>-Assumptions!J173</f>
        <v>-9166.6666666666679</v>
      </c>
      <c r="M38" s="1400">
        <f>-Assumptions!K173</f>
        <v>-11666.666666666668</v>
      </c>
      <c r="N38" s="1401">
        <f>-Assumptions!L173</f>
        <v>-9166.6666666666679</v>
      </c>
    </row>
    <row r="39" spans="1:14" ht="11.25" customHeight="1" x14ac:dyDescent="0.2">
      <c r="B39" s="274"/>
      <c r="C39" s="125" t="s">
        <v>32</v>
      </c>
      <c r="D39" s="696" t="s">
        <v>32</v>
      </c>
      <c r="E39" s="206">
        <f t="shared" ref="E39:J39" si="25">E34+E38+E37</f>
        <v>0</v>
      </c>
      <c r="F39" s="206">
        <f t="shared" si="25"/>
        <v>0</v>
      </c>
      <c r="G39" s="206">
        <f t="shared" si="25"/>
        <v>0</v>
      </c>
      <c r="H39" s="206">
        <f t="shared" si="25"/>
        <v>0</v>
      </c>
      <c r="I39" s="207">
        <f t="shared" si="25"/>
        <v>0</v>
      </c>
      <c r="J39" s="921">
        <f t="shared" si="25"/>
        <v>263220.62833333336</v>
      </c>
      <c r="K39" s="921">
        <f>K34+K38+K37</f>
        <v>552568.68379083334</v>
      </c>
      <c r="L39" s="921">
        <f t="shared" ref="L39:M39" si="26">L34+L38+L37</f>
        <v>767124.20360670995</v>
      </c>
      <c r="M39" s="921">
        <f t="shared" si="26"/>
        <v>1011361.1281222111</v>
      </c>
      <c r="N39" s="954">
        <f t="shared" ref="N39" si="27">N34+N38+N37</f>
        <v>1323144.2659229196</v>
      </c>
    </row>
    <row r="40" spans="1:14" ht="11.25" customHeight="1" x14ac:dyDescent="0.2">
      <c r="B40" s="274">
        <v>21</v>
      </c>
      <c r="C40" s="119" t="s">
        <v>33</v>
      </c>
      <c r="D40" s="119" t="s">
        <v>632</v>
      </c>
      <c r="E40" s="194">
        <f>SUMIF('Výkaz ziskov a strát'!A:A,B40,'Výkaz ziskov a strát'!O:O)/Units</f>
        <v>0</v>
      </c>
      <c r="F40" s="194">
        <f>SUMIF('Výkaz ziskov a strát'!A:A,B40,'Výkaz ziskov a strát'!N:N)/Units</f>
        <v>0</v>
      </c>
      <c r="G40" s="194">
        <f>SUMIF('Výkaz ziskov a strát'!A:A,B40,'Výkaz ziskov a strát'!M:M)/Units</f>
        <v>0</v>
      </c>
      <c r="H40" s="194">
        <f>SUMIF('Výkaz ziskov a strát'!A:A,B40,'Výkaz ziskov a strát'!L:L)/Units</f>
        <v>0</v>
      </c>
      <c r="I40" s="195">
        <f>SUMIF('Výkaz ziskov a strát'!A:A,B40,'Výkaz ziskov a strát'!K:K)/Units</f>
        <v>0</v>
      </c>
      <c r="J40" s="1398">
        <f>Assumptions!H205</f>
        <v>0</v>
      </c>
      <c r="K40" s="1398">
        <f>Assumptions!I205</f>
        <v>0</v>
      </c>
      <c r="L40" s="1398">
        <f>Assumptions!J205</f>
        <v>0</v>
      </c>
      <c r="M40" s="1398">
        <f>Assumptions!K205</f>
        <v>0</v>
      </c>
      <c r="N40" s="1399">
        <f>Assumptions!L205</f>
        <v>0</v>
      </c>
    </row>
    <row r="41" spans="1:14" ht="11.25" customHeight="1" x14ac:dyDescent="0.2">
      <c r="B41" s="274">
        <v>24</v>
      </c>
      <c r="C41" s="119" t="s">
        <v>803</v>
      </c>
      <c r="D41" s="119" t="s">
        <v>633</v>
      </c>
      <c r="E41" s="194">
        <f>SUMIF('Výkaz ziskov a strát'!A:A,B41,'Výkaz ziskov a strát'!O:O)/Units</f>
        <v>0</v>
      </c>
      <c r="F41" s="194">
        <f>SUMIF('Výkaz ziskov a strát'!A:A,B41,'Výkaz ziskov a strát'!N:N)/Units</f>
        <v>0</v>
      </c>
      <c r="G41" s="194">
        <f>SUMIF('Výkaz ziskov a strát'!A:A,B41,'Výkaz ziskov a strát'!M:M)/Units</f>
        <v>0</v>
      </c>
      <c r="H41" s="194">
        <f>SUMIF('Výkaz ziskov a strát'!A:A,B41,'Výkaz ziskov a strát'!L:L)/Units</f>
        <v>0</v>
      </c>
      <c r="I41" s="1230">
        <f>SUMIF('Výkaz ziskov a strát'!A:A,B41,'Výkaz ziskov a strát'!K:K)/Units</f>
        <v>0</v>
      </c>
      <c r="J41" s="920">
        <v>0</v>
      </c>
      <c r="K41" s="920">
        <v>0</v>
      </c>
      <c r="L41" s="956">
        <v>0</v>
      </c>
      <c r="M41" s="956">
        <v>0</v>
      </c>
      <c r="N41" s="957">
        <v>0</v>
      </c>
    </row>
    <row r="42" spans="1:14" ht="11.25" customHeight="1" x14ac:dyDescent="0.2">
      <c r="B42" s="274"/>
      <c r="C42" s="125" t="s">
        <v>35</v>
      </c>
      <c r="D42" s="125" t="s">
        <v>634</v>
      </c>
      <c r="E42" s="198">
        <f t="shared" ref="E42:J42" si="28">SUM(E39:E41)</f>
        <v>0</v>
      </c>
      <c r="F42" s="198">
        <f t="shared" si="28"/>
        <v>0</v>
      </c>
      <c r="G42" s="198">
        <f t="shared" si="28"/>
        <v>0</v>
      </c>
      <c r="H42" s="198">
        <f t="shared" si="28"/>
        <v>0</v>
      </c>
      <c r="I42" s="207">
        <f t="shared" si="28"/>
        <v>0</v>
      </c>
      <c r="J42" s="918">
        <f t="shared" si="28"/>
        <v>263220.62833333336</v>
      </c>
      <c r="K42" s="918">
        <f t="shared" ref="K42:M42" si="29">SUM(K39:K41)</f>
        <v>552568.68379083334</v>
      </c>
      <c r="L42" s="921">
        <f t="shared" si="29"/>
        <v>767124.20360670995</v>
      </c>
      <c r="M42" s="921">
        <f t="shared" si="29"/>
        <v>1011361.1281222111</v>
      </c>
      <c r="N42" s="954">
        <f t="shared" ref="N42" si="30">SUM(N39:N41)</f>
        <v>1323144.2659229196</v>
      </c>
    </row>
    <row r="43" spans="1:14" ht="11.25" customHeight="1" x14ac:dyDescent="0.2">
      <c r="B43" s="274">
        <v>25</v>
      </c>
      <c r="C43" s="119" t="s">
        <v>2</v>
      </c>
      <c r="D43" s="119" t="s">
        <v>635</v>
      </c>
      <c r="E43" s="194">
        <f>SUMIF('Výkaz ziskov a strát'!A:A,B43,'Výkaz ziskov a strát'!O:O)/Units</f>
        <v>0</v>
      </c>
      <c r="F43" s="194">
        <f>SUMIF('Výkaz ziskov a strát'!A:A,B43,'Výkaz ziskov a strát'!N:N)/Units</f>
        <v>0</v>
      </c>
      <c r="G43" s="194">
        <f>SUMIF('Výkaz ziskov a strát'!A:A,B43,'Výkaz ziskov a strát'!M:M)/Units</f>
        <v>0</v>
      </c>
      <c r="H43" s="194">
        <f>SUMIF('Výkaz ziskov a strát'!A:A,B43,'Výkaz ziskov a strát'!L:L)/Units</f>
        <v>0</v>
      </c>
      <c r="I43" s="1230">
        <f>SUMIF('Výkaz ziskov a strát'!A:A,B43,'Výkaz ziskov a strát'!K:K)/Units</f>
        <v>0</v>
      </c>
      <c r="J43" s="920">
        <f>-IF(J42&gt;0,J42*Assumptions!$F$20,0)</f>
        <v>-92127.219916666669</v>
      </c>
      <c r="K43" s="920">
        <f>-IF(K42&gt;0,K42*Assumptions!$F$20,0)</f>
        <v>-193399.03932679165</v>
      </c>
      <c r="L43" s="920">
        <f>-IF(L42&gt;0,L42*Assumptions!$F$20,0)</f>
        <v>-268493.47126234847</v>
      </c>
      <c r="M43" s="920">
        <f>-IF(M42&gt;0,M42*Assumptions!$F$20,0)</f>
        <v>-353976.39484277385</v>
      </c>
      <c r="N43" s="1628">
        <f>-IF(N42&gt;0,N42*Assumptions!$F$20,0)</f>
        <v>-463100.49307302182</v>
      </c>
    </row>
    <row r="44" spans="1:14" ht="11.25" customHeight="1" thickBot="1" x14ac:dyDescent="0.25">
      <c r="A44" s="273"/>
      <c r="B44" s="274"/>
      <c r="C44" s="127" t="s">
        <v>804</v>
      </c>
      <c r="D44" s="127" t="s">
        <v>636</v>
      </c>
      <c r="E44" s="200">
        <f t="shared" ref="E44:I44" si="31">SUM(E42:E43)</f>
        <v>0</v>
      </c>
      <c r="F44" s="200">
        <f t="shared" si="31"/>
        <v>0</v>
      </c>
      <c r="G44" s="200">
        <f t="shared" si="31"/>
        <v>0</v>
      </c>
      <c r="H44" s="200">
        <f t="shared" si="31"/>
        <v>0</v>
      </c>
      <c r="I44" s="1234">
        <f t="shared" si="31"/>
        <v>0</v>
      </c>
      <c r="J44" s="959">
        <f t="shared" ref="J44:M44" si="32">SUM(J42:J43)</f>
        <v>171093.40841666667</v>
      </c>
      <c r="K44" s="959">
        <f t="shared" si="32"/>
        <v>359169.64446404169</v>
      </c>
      <c r="L44" s="959">
        <f t="shared" si="32"/>
        <v>498630.73234436149</v>
      </c>
      <c r="M44" s="959">
        <f t="shared" si="32"/>
        <v>657384.73327943729</v>
      </c>
      <c r="N44" s="960">
        <f t="shared" ref="N44" si="33">SUM(N42:N43)</f>
        <v>860043.77284989785</v>
      </c>
    </row>
    <row r="46" spans="1:14" ht="11.25" customHeight="1" x14ac:dyDescent="0.2">
      <c r="B46" s="175"/>
      <c r="C46" s="86" t="s">
        <v>590</v>
      </c>
      <c r="D46" s="86"/>
      <c r="E46" s="457">
        <f>E44-'Výkaz ziskov a strát'!J64/Units</f>
        <v>0</v>
      </c>
      <c r="F46" s="457">
        <f>F44-'Výkaz ziskov a strát'!I64/Units</f>
        <v>0</v>
      </c>
      <c r="G46" s="457">
        <f>G44-'Výkaz ziskov a strát'!H64/Units</f>
        <v>0</v>
      </c>
      <c r="H46" s="457">
        <f>H44-'Výkaz ziskov a strát'!G64/Units</f>
        <v>0</v>
      </c>
      <c r="I46" s="457">
        <f>I44-'Výkaz ziskov a strát'!F64/Units</f>
        <v>0</v>
      </c>
      <c r="J46" s="457"/>
      <c r="K46" s="457"/>
      <c r="L46" s="457"/>
      <c r="M46" s="457"/>
      <c r="N46" s="457"/>
    </row>
    <row r="47" spans="1:14" ht="11.25" customHeight="1" x14ac:dyDescent="0.2">
      <c r="B47" s="274"/>
      <c r="E47" s="172"/>
      <c r="F47" s="172"/>
      <c r="G47" s="172"/>
      <c r="H47" s="172"/>
      <c r="I47" s="172"/>
      <c r="J47" s="172"/>
      <c r="K47" s="172"/>
      <c r="L47" s="172"/>
      <c r="M47" s="172"/>
      <c r="N47" s="172"/>
    </row>
    <row r="48" spans="1:14" ht="19.5" customHeight="1" x14ac:dyDescent="0.2">
      <c r="A48" s="273"/>
      <c r="B48" s="274"/>
      <c r="C48" s="109" t="s">
        <v>3</v>
      </c>
      <c r="D48" s="109" t="s">
        <v>93</v>
      </c>
      <c r="E48" s="110"/>
      <c r="F48" s="110"/>
      <c r="G48" s="110"/>
      <c r="H48" s="110"/>
      <c r="I48" s="1125"/>
      <c r="J48" s="110"/>
      <c r="K48" s="110"/>
      <c r="L48" s="110"/>
      <c r="M48" s="111"/>
      <c r="N48" s="992"/>
    </row>
    <row r="49" spans="1:16" ht="11.25" customHeight="1" x14ac:dyDescent="0.2">
      <c r="A49" s="273"/>
      <c r="B49" s="274"/>
      <c r="C49" s="133" t="str">
        <f>'Detailné výkazy'!C7</f>
        <v xml:space="preserve">€  </v>
      </c>
      <c r="D49" s="133"/>
      <c r="E49" s="692" t="str">
        <f>CONCATENATE("31-Dec-",RIGHT(J2,2)-5)</f>
        <v>31-Dec-20</v>
      </c>
      <c r="F49" s="692">
        <f>EDATE(E49,12)</f>
        <v>44561</v>
      </c>
      <c r="G49" s="692">
        <f t="shared" ref="G49:I49" si="34">EDATE(F49,12)</f>
        <v>44926</v>
      </c>
      <c r="H49" s="692">
        <f t="shared" si="34"/>
        <v>45291</v>
      </c>
      <c r="I49" s="693">
        <f t="shared" si="34"/>
        <v>45657</v>
      </c>
      <c r="J49" s="843" t="str">
        <f>CONCATENATE("31-Dec-",RIGHT(J2,2))</f>
        <v>31-Dec-25</v>
      </c>
      <c r="K49" s="843">
        <f>EDATE(J49,12)</f>
        <v>46387</v>
      </c>
      <c r="L49" s="843">
        <f t="shared" ref="L49:N49" si="35">EDATE(K49,12)</f>
        <v>46752</v>
      </c>
      <c r="M49" s="843">
        <f t="shared" si="35"/>
        <v>47118</v>
      </c>
      <c r="N49" s="844">
        <f t="shared" si="35"/>
        <v>47483</v>
      </c>
    </row>
    <row r="50" spans="1:16" ht="11.25" customHeight="1" x14ac:dyDescent="0.2">
      <c r="A50" s="271"/>
      <c r="B50" s="274"/>
      <c r="C50" s="638"/>
      <c r="D50" s="641" t="str">
        <f>'Detailné výkazy'!C7</f>
        <v xml:space="preserve">€  </v>
      </c>
      <c r="E50" s="642" t="s">
        <v>1308</v>
      </c>
      <c r="F50" s="642" t="s">
        <v>1308</v>
      </c>
      <c r="G50" s="642" t="s">
        <v>1308</v>
      </c>
      <c r="H50" s="642" t="s">
        <v>1308</v>
      </c>
      <c r="I50" s="1235" t="s">
        <v>1309</v>
      </c>
      <c r="J50" s="845" t="s">
        <v>1309</v>
      </c>
      <c r="K50" s="845" t="s">
        <v>1309</v>
      </c>
      <c r="L50" s="845" t="s">
        <v>1309</v>
      </c>
      <c r="M50" s="845" t="s">
        <v>1309</v>
      </c>
      <c r="N50" s="846" t="s">
        <v>1309</v>
      </c>
    </row>
    <row r="51" spans="1:16" ht="11.25" customHeight="1" x14ac:dyDescent="0.2">
      <c r="A51" s="273"/>
      <c r="B51" s="274"/>
      <c r="C51" s="147" t="s">
        <v>36</v>
      </c>
      <c r="D51" s="118" t="s">
        <v>644</v>
      </c>
      <c r="E51" s="1017"/>
      <c r="F51" s="1017"/>
      <c r="G51" s="1017"/>
      <c r="H51" s="1017"/>
      <c r="I51" s="1236"/>
      <c r="J51" s="993"/>
      <c r="K51" s="993"/>
      <c r="L51" s="993"/>
      <c r="M51" s="993"/>
      <c r="N51" s="1016"/>
    </row>
    <row r="52" spans="1:16" ht="11.25" customHeight="1" x14ac:dyDescent="0.2">
      <c r="B52" s="274">
        <v>50</v>
      </c>
      <c r="C52" s="284" t="s">
        <v>4</v>
      </c>
      <c r="D52" s="284" t="s">
        <v>94</v>
      </c>
      <c r="E52" s="194">
        <f>SUMIF(Aktíva!A:A,B52,Aktíva!J:J)/Units</f>
        <v>0</v>
      </c>
      <c r="F52" s="194">
        <f>SUMIF(Aktíva!A:A,B52,Aktíva!I:I)/Units</f>
        <v>0</v>
      </c>
      <c r="G52" s="194">
        <f>SUMIF(Aktíva!A:A,B52,Aktíva!H:H)/Units</f>
        <v>0</v>
      </c>
      <c r="H52" s="194">
        <f>SUMIF(Aktíva!A:A,B52,Aktíva!G:G)/Units</f>
        <v>0</v>
      </c>
      <c r="I52" s="195">
        <f>Assumptions!G148</f>
        <v>30000</v>
      </c>
      <c r="J52" s="920">
        <f>Assumptions!H179</f>
        <v>28333.333333333332</v>
      </c>
      <c r="K52" s="920">
        <f>Assumptions!I179</f>
        <v>34166.666666666657</v>
      </c>
      <c r="L52" s="920">
        <f>Assumptions!J179</f>
        <v>24999.999999999989</v>
      </c>
      <c r="M52" s="920">
        <f>Assumptions!K179</f>
        <v>23333.333333333318</v>
      </c>
      <c r="N52" s="953">
        <f>Assumptions!L179</f>
        <v>14166.66666666665</v>
      </c>
    </row>
    <row r="53" spans="1:16" ht="11.25" customHeight="1" x14ac:dyDescent="0.2">
      <c r="B53" s="274">
        <v>54</v>
      </c>
      <c r="C53" s="284" t="s">
        <v>5</v>
      </c>
      <c r="D53" s="284" t="s">
        <v>106</v>
      </c>
      <c r="E53" s="194">
        <f>SUMIF(Aktíva!A:A,B53,Aktíva!J:J)/Units</f>
        <v>0</v>
      </c>
      <c r="F53" s="194">
        <f>SUMIF(Aktíva!A:A,B53,Aktíva!I:I)/Units</f>
        <v>0</v>
      </c>
      <c r="G53" s="194">
        <f>SUMIF(Aktíva!A:A,B53,Aktíva!H:H)/Units</f>
        <v>0</v>
      </c>
      <c r="H53" s="194">
        <f>SUMIF(Aktíva!A:A,B53,Aktíva!G:G)/Units</f>
        <v>0</v>
      </c>
      <c r="I53" s="195">
        <f>SUMIF(Aktíva!A:A,B53,Aktíva!F:F)/Units</f>
        <v>0</v>
      </c>
      <c r="J53" s="920">
        <v>0</v>
      </c>
      <c r="K53" s="920">
        <v>0</v>
      </c>
      <c r="L53" s="920">
        <v>0</v>
      </c>
      <c r="M53" s="920">
        <v>0</v>
      </c>
      <c r="N53" s="953">
        <v>0</v>
      </c>
    </row>
    <row r="54" spans="1:16" ht="11.25" customHeight="1" x14ac:dyDescent="0.2">
      <c r="B54" s="274">
        <v>58</v>
      </c>
      <c r="C54" s="284" t="s">
        <v>6</v>
      </c>
      <c r="D54" s="284" t="s">
        <v>645</v>
      </c>
      <c r="E54" s="194">
        <f>SUMIF(Aktíva!A:A,B54,Aktíva!J:J)/Units</f>
        <v>0</v>
      </c>
      <c r="F54" s="194">
        <f>SUMIF(Aktíva!A:A,B54,Aktíva!I:I)/Units</f>
        <v>0</v>
      </c>
      <c r="G54" s="194">
        <f>SUMIF(Aktíva!A:A,B54,Aktíva!H:H)/Units</f>
        <v>0</v>
      </c>
      <c r="H54" s="194">
        <f>SUMIF(Aktíva!A:A,B54,Aktíva!G:G)/Units</f>
        <v>0</v>
      </c>
      <c r="I54" s="1230">
        <f>SUMIF(Aktíva!A:A,B54,Aktíva!F:F)/Units</f>
        <v>0</v>
      </c>
      <c r="J54" s="920">
        <v>0</v>
      </c>
      <c r="K54" s="920">
        <v>0</v>
      </c>
      <c r="L54" s="920">
        <v>0</v>
      </c>
      <c r="M54" s="920">
        <v>0</v>
      </c>
      <c r="N54" s="953">
        <v>0</v>
      </c>
      <c r="P54" s="431"/>
    </row>
    <row r="55" spans="1:16" ht="11.25" customHeight="1" x14ac:dyDescent="0.2">
      <c r="B55" s="274"/>
      <c r="C55" s="150"/>
      <c r="D55" s="150"/>
      <c r="E55" s="198">
        <f t="shared" ref="E55:I55" si="36">SUM(E52:E54)</f>
        <v>0</v>
      </c>
      <c r="F55" s="198">
        <f t="shared" si="36"/>
        <v>0</v>
      </c>
      <c r="G55" s="198">
        <f t="shared" si="36"/>
        <v>0</v>
      </c>
      <c r="H55" s="198">
        <f t="shared" si="36"/>
        <v>0</v>
      </c>
      <c r="I55" s="207">
        <f t="shared" si="36"/>
        <v>30000</v>
      </c>
      <c r="J55" s="918">
        <f t="shared" ref="J55" si="37">SUM(J52:J54)</f>
        <v>28333.333333333332</v>
      </c>
      <c r="K55" s="918">
        <f t="shared" ref="K55:N55" si="38">SUM(K52:K54)</f>
        <v>34166.666666666657</v>
      </c>
      <c r="L55" s="918">
        <f t="shared" si="38"/>
        <v>24999.999999999989</v>
      </c>
      <c r="M55" s="918">
        <f t="shared" si="38"/>
        <v>23333.333333333318</v>
      </c>
      <c r="N55" s="1504">
        <f t="shared" si="38"/>
        <v>14166.66666666665</v>
      </c>
    </row>
    <row r="56" spans="1:16" ht="11.25" customHeight="1" x14ac:dyDescent="0.2">
      <c r="B56" s="274"/>
      <c r="C56" s="151"/>
      <c r="D56" s="151"/>
      <c r="E56" s="206"/>
      <c r="F56" s="206"/>
      <c r="G56" s="206"/>
      <c r="H56" s="206"/>
      <c r="I56" s="207"/>
      <c r="J56" s="909"/>
      <c r="K56" s="909"/>
      <c r="L56" s="909"/>
      <c r="M56" s="909"/>
      <c r="N56" s="912"/>
    </row>
    <row r="57" spans="1:16" ht="11.25" customHeight="1" x14ac:dyDescent="0.2">
      <c r="B57" s="274"/>
      <c r="C57" s="152" t="s">
        <v>813</v>
      </c>
      <c r="D57" s="152" t="s">
        <v>646</v>
      </c>
      <c r="E57" s="208"/>
      <c r="F57" s="208"/>
      <c r="G57" s="208"/>
      <c r="H57" s="208"/>
      <c r="I57" s="209"/>
      <c r="J57" s="923"/>
      <c r="K57" s="923"/>
      <c r="L57" s="923"/>
      <c r="M57" s="923"/>
      <c r="N57" s="1466"/>
    </row>
    <row r="58" spans="1:16" ht="11.25" customHeight="1" x14ac:dyDescent="0.2">
      <c r="B58" s="274">
        <v>61</v>
      </c>
      <c r="C58" s="284" t="s">
        <v>7</v>
      </c>
      <c r="D58" s="284" t="s">
        <v>116</v>
      </c>
      <c r="E58" s="194">
        <f>SUMIF(Aktíva!A:A,B58,Aktíva!J:J)/Units</f>
        <v>0</v>
      </c>
      <c r="F58" s="194">
        <f>SUMIF(Aktíva!A:A,B58,Aktíva!I:I)/Units</f>
        <v>0</v>
      </c>
      <c r="G58" s="194">
        <f>SUMIF(Aktíva!A:A,B58,Aktíva!H:H)/Units</f>
        <v>0</v>
      </c>
      <c r="H58" s="194">
        <f>SUMIF(Aktíva!A:A,B58,Aktíva!G:G)/Units</f>
        <v>0</v>
      </c>
      <c r="I58" s="195">
        <f>SUMIF(Aktíva!A:A,B58,Aktíva!F:F)/Units</f>
        <v>0</v>
      </c>
      <c r="J58" s="920">
        <f>NWC!K15</f>
        <v>0</v>
      </c>
      <c r="K58" s="920">
        <f>NWC!L15</f>
        <v>0</v>
      </c>
      <c r="L58" s="920">
        <f>NWC!M15</f>
        <v>0</v>
      </c>
      <c r="M58" s="920">
        <f>NWC!N15</f>
        <v>0</v>
      </c>
      <c r="N58" s="953">
        <f>NWC!O15</f>
        <v>0</v>
      </c>
    </row>
    <row r="59" spans="1:16" ht="11.25" customHeight="1" x14ac:dyDescent="0.2">
      <c r="B59" s="274">
        <v>63</v>
      </c>
      <c r="C59" s="284" t="s">
        <v>8</v>
      </c>
      <c r="D59" s="284" t="s">
        <v>647</v>
      </c>
      <c r="E59" s="194">
        <f>SUMIF(Aktíva!A:A,$B59,Aktíva!J:J)/Units</f>
        <v>0</v>
      </c>
      <c r="F59" s="194">
        <f>SUMIF(Aktíva!A:A,B59,Aktíva!I:I)/Units</f>
        <v>0</v>
      </c>
      <c r="G59" s="194">
        <f>SUMIF(Aktíva!A:A,B59,Aktíva!H:H)/Units</f>
        <v>0</v>
      </c>
      <c r="H59" s="194">
        <f>SUMIF(Aktíva!A:A,B59,Aktíva!G:G)/Units</f>
        <v>0</v>
      </c>
      <c r="I59" s="195">
        <f>SUMIF(Aktíva!A:A,B59,Aktíva!F:F)/Units</f>
        <v>0</v>
      </c>
      <c r="J59" s="1347">
        <f>NWC!K14</f>
        <v>24743.034246575342</v>
      </c>
      <c r="K59" s="1347">
        <f>NWC!L14</f>
        <v>42802.592023972597</v>
      </c>
      <c r="L59" s="1347">
        <f>NWC!M14</f>
        <v>57479.600828992785</v>
      </c>
      <c r="M59" s="1347">
        <f>NWC!N14</f>
        <v>71251.713187619462</v>
      </c>
      <c r="N59" s="1465">
        <f>NWC!O14</f>
        <v>88323.62366737306</v>
      </c>
    </row>
    <row r="60" spans="1:16" ht="11.25" customHeight="1" x14ac:dyDescent="0.2">
      <c r="B60" s="274">
        <v>65</v>
      </c>
      <c r="C60" s="284" t="s">
        <v>9</v>
      </c>
      <c r="D60" s="284" t="s">
        <v>648</v>
      </c>
      <c r="E60" s="194">
        <f>SUMIF(Aktíva!A:A,B60,Aktíva!J:J)/Units</f>
        <v>0</v>
      </c>
      <c r="F60" s="194">
        <f>SUMIF(Aktíva!A:A,B60,Aktíva!I:I)/Units</f>
        <v>0</v>
      </c>
      <c r="G60" s="194">
        <f>SUMIF(Aktíva!A:A,B60,Aktíva!H:H)/Units</f>
        <v>0</v>
      </c>
      <c r="H60" s="194">
        <f>SUMIF(Aktíva!A:A,B60,Aktíva!G:G)/Units</f>
        <v>0</v>
      </c>
      <c r="I60" s="195">
        <f>Assumptions!E151+Assumptions!E153</f>
        <v>45000</v>
      </c>
      <c r="J60" s="920">
        <f>J115</f>
        <v>260438.6400833333</v>
      </c>
      <c r="K60" s="920">
        <f t="shared" ref="K60:N60" si="39">K115</f>
        <v>639727.48515284306</v>
      </c>
      <c r="L60" s="920">
        <f t="shared" si="39"/>
        <v>1169856.4897355204</v>
      </c>
      <c r="M60" s="920">
        <f t="shared" si="39"/>
        <v>1847374.4642577805</v>
      </c>
      <c r="N60" s="953">
        <f t="shared" si="39"/>
        <v>2739288.2314725756</v>
      </c>
    </row>
    <row r="61" spans="1:16" ht="11.25" customHeight="1" x14ac:dyDescent="0.2">
      <c r="B61" s="274">
        <v>64</v>
      </c>
      <c r="C61" s="284" t="s">
        <v>603</v>
      </c>
      <c r="D61" s="284" t="s">
        <v>649</v>
      </c>
      <c r="E61" s="194">
        <f>SUMIF(Aktíva!A:A,$B61,Aktíva!J:J)/Units</f>
        <v>0</v>
      </c>
      <c r="F61" s="194">
        <f>SUMIF(Aktíva!A:A,B61,Aktíva!I:I)/Units</f>
        <v>0</v>
      </c>
      <c r="G61" s="194">
        <f>SUMIF(Aktíva!A:A,B61,Aktíva!H:H)/Units</f>
        <v>0</v>
      </c>
      <c r="H61" s="194">
        <f>SUMIF(Aktíva!A:A,B61,Aktíva!G:G)/Units</f>
        <v>0</v>
      </c>
      <c r="I61" s="195">
        <f>SUMIF(Aktíva!A:A,B61,Aktíva!F:F)/Units</f>
        <v>0</v>
      </c>
      <c r="J61" s="1347">
        <f>NWC!K16</f>
        <v>51606.9</v>
      </c>
      <c r="K61" s="1347">
        <f>NWC!L16</f>
        <v>89273.977649999986</v>
      </c>
      <c r="L61" s="1347">
        <f>NWC!M16</f>
        <v>119886.02458618495</v>
      </c>
      <c r="M61" s="1347">
        <f>NWC!N16</f>
        <v>148610.71607703489</v>
      </c>
      <c r="N61" s="1465">
        <f>NWC!O16</f>
        <v>184217.84364909239</v>
      </c>
    </row>
    <row r="62" spans="1:16" ht="11.25" customHeight="1" x14ac:dyDescent="0.2">
      <c r="B62" s="274">
        <v>67</v>
      </c>
      <c r="C62" s="285" t="s">
        <v>814</v>
      </c>
      <c r="D62" s="849" t="s">
        <v>703</v>
      </c>
      <c r="E62" s="850">
        <f>SUMIF(Aktíva!A:A,B62,Aktíva!J:J)/Units</f>
        <v>0</v>
      </c>
      <c r="F62" s="850">
        <f>SUMIF(Aktíva!A:A,B62,Aktíva!I:I)/Units</f>
        <v>0</v>
      </c>
      <c r="G62" s="850">
        <f>SUMIF(Aktíva!A:A,B62,Aktíva!H:H)/Units</f>
        <v>0</v>
      </c>
      <c r="H62" s="850">
        <f>SUMIF(Aktíva!A:A,B62,Aktíva!G:G)/Units</f>
        <v>0</v>
      </c>
      <c r="I62" s="1230">
        <f>SUMIF(Aktíva!A:A,B62,Aktíva!F:F)/Units</f>
        <v>0</v>
      </c>
      <c r="J62" s="956">
        <f>NWC!K17</f>
        <v>6450.8625000000002</v>
      </c>
      <c r="K62" s="956">
        <f>NWC!L17</f>
        <v>11159.247206249998</v>
      </c>
      <c r="L62" s="956">
        <f>NWC!M17</f>
        <v>14985.753073273119</v>
      </c>
      <c r="M62" s="956">
        <f>NWC!N17</f>
        <v>18576.339509629361</v>
      </c>
      <c r="N62" s="957">
        <f>NWC!O17</f>
        <v>23027.230456136549</v>
      </c>
    </row>
    <row r="63" spans="1:16" ht="11.25" customHeight="1" x14ac:dyDescent="0.2">
      <c r="B63" s="274"/>
      <c r="C63" s="150"/>
      <c r="D63" s="151"/>
      <c r="E63" s="206">
        <f t="shared" ref="E63:J63" si="40">SUM(E58:E62)</f>
        <v>0</v>
      </c>
      <c r="F63" s="206">
        <f t="shared" si="40"/>
        <v>0</v>
      </c>
      <c r="G63" s="206">
        <f t="shared" si="40"/>
        <v>0</v>
      </c>
      <c r="H63" s="206">
        <f t="shared" si="40"/>
        <v>0</v>
      </c>
      <c r="I63" s="1231">
        <f t="shared" si="40"/>
        <v>45000</v>
      </c>
      <c r="J63" s="921">
        <f t="shared" si="40"/>
        <v>343239.43682990863</v>
      </c>
      <c r="K63" s="921">
        <f t="shared" ref="K63:M63" si="41">SUM(K58:K62)</f>
        <v>782963.30203306559</v>
      </c>
      <c r="L63" s="1005">
        <f t="shared" si="41"/>
        <v>1362207.8682239712</v>
      </c>
      <c r="M63" s="1005">
        <f t="shared" si="41"/>
        <v>2085813.2330320643</v>
      </c>
      <c r="N63" s="1006">
        <f t="shared" ref="N63" si="42">SUM(N58:N62)</f>
        <v>3034856.9292451777</v>
      </c>
    </row>
    <row r="64" spans="1:16" ht="11.25" customHeight="1" thickBot="1" x14ac:dyDescent="0.25">
      <c r="B64" s="274"/>
      <c r="C64" s="153" t="s">
        <v>850</v>
      </c>
      <c r="D64" s="1020" t="s">
        <v>664</v>
      </c>
      <c r="E64" s="1021">
        <f t="shared" ref="E64:J64" si="43">E63+E55</f>
        <v>0</v>
      </c>
      <c r="F64" s="1021">
        <f t="shared" si="43"/>
        <v>0</v>
      </c>
      <c r="G64" s="1021">
        <f t="shared" si="43"/>
        <v>0</v>
      </c>
      <c r="H64" s="1021">
        <f t="shared" si="43"/>
        <v>0</v>
      </c>
      <c r="I64" s="1237">
        <f t="shared" si="43"/>
        <v>75000</v>
      </c>
      <c r="J64" s="1022">
        <f t="shared" si="43"/>
        <v>371572.77016324195</v>
      </c>
      <c r="K64" s="1022">
        <f t="shared" ref="K64:M64" si="44">K63+K55</f>
        <v>817129.96869973221</v>
      </c>
      <c r="L64" s="921">
        <f t="shared" si="44"/>
        <v>1387207.8682239712</v>
      </c>
      <c r="M64" s="921">
        <f t="shared" si="44"/>
        <v>2109146.5663653975</v>
      </c>
      <c r="N64" s="1467">
        <f t="shared" ref="N64" si="45">N63+N55</f>
        <v>3049023.5959118442</v>
      </c>
    </row>
    <row r="65" spans="2:14" ht="11.25" customHeight="1" x14ac:dyDescent="0.2">
      <c r="B65" s="274"/>
      <c r="C65" s="152" t="s">
        <v>816</v>
      </c>
      <c r="D65" s="1023" t="s">
        <v>655</v>
      </c>
      <c r="E65" s="198"/>
      <c r="F65" s="198"/>
      <c r="G65" s="198"/>
      <c r="H65" s="198"/>
      <c r="I65" s="207"/>
      <c r="J65" s="1024"/>
      <c r="K65" s="1024"/>
      <c r="L65" s="1024"/>
      <c r="M65" s="1024"/>
      <c r="N65" s="1025"/>
    </row>
    <row r="66" spans="2:14" ht="11.25" customHeight="1" x14ac:dyDescent="0.2">
      <c r="B66" s="274"/>
      <c r="C66" s="157" t="s">
        <v>817</v>
      </c>
      <c r="D66" s="157" t="s">
        <v>656</v>
      </c>
      <c r="H66" s="431"/>
      <c r="I66" s="275"/>
      <c r="J66" s="283"/>
      <c r="K66" s="283"/>
      <c r="L66" s="283"/>
      <c r="M66" s="283"/>
      <c r="N66" s="1464"/>
    </row>
    <row r="67" spans="2:14" ht="11.25" customHeight="1" x14ac:dyDescent="0.2">
      <c r="B67" s="274" t="s">
        <v>15</v>
      </c>
      <c r="C67" s="158" t="s">
        <v>38</v>
      </c>
      <c r="D67" s="158" t="s">
        <v>138</v>
      </c>
      <c r="E67" s="194">
        <f>SUMIF(Pasíva!A:A,B67,Pasíva!J:J)/Units</f>
        <v>0</v>
      </c>
      <c r="F67" s="194">
        <f>SUMIF(Pasíva!A:A,B67,Pasíva!I:I)/Units</f>
        <v>0</v>
      </c>
      <c r="G67" s="194">
        <f>SUMIF(Pasíva!A:A,B67,Pasíva!H:H)/Units</f>
        <v>0</v>
      </c>
      <c r="H67" s="194">
        <f>SUMIF(Pasíva!A:A,B67,Pasíva!G:G)/Units</f>
        <v>0</v>
      </c>
      <c r="I67" s="195">
        <f>SUMIF(Pasíva!A:A,B67,Pasíva!F:F)/Units</f>
        <v>0</v>
      </c>
      <c r="J67" s="920">
        <f>I67</f>
        <v>0</v>
      </c>
      <c r="K67" s="920">
        <f>J67</f>
        <v>0</v>
      </c>
      <c r="L67" s="920">
        <f t="shared" ref="L67:N67" si="46">K67</f>
        <v>0</v>
      </c>
      <c r="M67" s="920">
        <f t="shared" si="46"/>
        <v>0</v>
      </c>
      <c r="N67" s="953">
        <f t="shared" si="46"/>
        <v>0</v>
      </c>
    </row>
    <row r="68" spans="2:14" ht="11.25" customHeight="1" x14ac:dyDescent="0.2">
      <c r="B68" s="274">
        <v>87</v>
      </c>
      <c r="C68" s="158" t="s">
        <v>818</v>
      </c>
      <c r="D68" s="158" t="s">
        <v>657</v>
      </c>
      <c r="E68" s="194">
        <f>SUMIF(Pasíva!A:A,B68,Pasíva!J:J)/Units</f>
        <v>0</v>
      </c>
      <c r="F68" s="194">
        <f>SUMIF(Pasíva!A:A,B68,Pasíva!I:I)/Units</f>
        <v>0</v>
      </c>
      <c r="G68" s="194">
        <f>SUMIF(Pasíva!A:A,B68,Pasíva!H:H)/Units</f>
        <v>0</v>
      </c>
      <c r="H68" s="194">
        <f>SUMIF(Pasíva!A:A,B68,Pasíva!G:G)/Units</f>
        <v>0</v>
      </c>
      <c r="I68" s="195">
        <v>0</v>
      </c>
      <c r="J68" s="1462">
        <v>0</v>
      </c>
      <c r="K68" s="1462">
        <v>0</v>
      </c>
      <c r="L68" s="1462">
        <v>0</v>
      </c>
      <c r="M68" s="1462">
        <v>0</v>
      </c>
      <c r="N68" s="1463">
        <v>0</v>
      </c>
    </row>
    <row r="69" spans="2:14" ht="11.25" customHeight="1" x14ac:dyDescent="0.2">
      <c r="B69" s="274" t="s">
        <v>141</v>
      </c>
      <c r="C69" s="158" t="s">
        <v>819</v>
      </c>
      <c r="D69" s="158" t="s">
        <v>658</v>
      </c>
      <c r="E69" s="194">
        <f>SUMIF(Pasíva!A:A,B69,Pasíva!J:J)/Units</f>
        <v>0</v>
      </c>
      <c r="F69" s="194">
        <f>SUMIF(Pasíva!A:A,B69,Pasíva!I:I)/Units</f>
        <v>0</v>
      </c>
      <c r="G69" s="194">
        <f>SUMIF(Pasíva!A:A,B69,Pasíva!H:H)/Units</f>
        <v>0</v>
      </c>
      <c r="H69" s="194">
        <f>SUMIF(Pasíva!A:A,B69,Pasíva!G:G)/Units</f>
        <v>0</v>
      </c>
      <c r="I69" s="195">
        <f>Assumptions!E151+Assumptions!E152</f>
        <v>70000</v>
      </c>
      <c r="J69" s="920">
        <f>I69</f>
        <v>70000</v>
      </c>
      <c r="K69" s="1639">
        <f t="shared" ref="K69:N69" si="47">J69</f>
        <v>70000</v>
      </c>
      <c r="L69" s="1639">
        <f t="shared" si="47"/>
        <v>70000</v>
      </c>
      <c r="M69" s="1639">
        <f t="shared" si="47"/>
        <v>70000</v>
      </c>
      <c r="N69" s="1640">
        <f t="shared" si="47"/>
        <v>70000</v>
      </c>
    </row>
    <row r="70" spans="2:14" ht="11.25" hidden="1" customHeight="1" x14ac:dyDescent="0.2">
      <c r="B70" s="274" t="s">
        <v>143</v>
      </c>
      <c r="C70" s="158" t="s">
        <v>820</v>
      </c>
      <c r="D70" s="158" t="s">
        <v>743</v>
      </c>
      <c r="E70" s="194">
        <f>SUMIF(Pasíva!A:A,B70,Pasíva!J:J)/Units</f>
        <v>0</v>
      </c>
      <c r="F70" s="194">
        <f>SUMIF(Pasíva!A:A,B70,Pasíva!I:I)/Units</f>
        <v>0</v>
      </c>
      <c r="G70" s="194">
        <f>SUMIF(Pasíva!A:A,B70,Pasíva!H:H)/Units</f>
        <v>0</v>
      </c>
      <c r="H70" s="194">
        <f>SUMIF(Pasíva!A:A,B70,Pasíva!G:G)/Units</f>
        <v>0</v>
      </c>
      <c r="I70" s="195">
        <f>SUMIF(Pasíva!A:A,B70,Pasíva!F:F)/Units</f>
        <v>0</v>
      </c>
      <c r="J70" s="920">
        <v>0</v>
      </c>
      <c r="K70" s="920">
        <v>0</v>
      </c>
      <c r="L70" s="920">
        <v>0</v>
      </c>
      <c r="M70" s="920">
        <v>0</v>
      </c>
      <c r="N70" s="953">
        <v>0</v>
      </c>
    </row>
    <row r="71" spans="2:14" ht="11.25" hidden="1" customHeight="1" x14ac:dyDescent="0.2">
      <c r="B71" s="274">
        <v>89</v>
      </c>
      <c r="C71" s="158" t="s">
        <v>821</v>
      </c>
      <c r="D71" s="158" t="s">
        <v>435</v>
      </c>
      <c r="E71" s="194">
        <f>SUMIF(Pasíva!A:A,B71,Pasíva!J:J)/Units</f>
        <v>0</v>
      </c>
      <c r="F71" s="194">
        <f>SUMIF(Pasíva!A:A,B71,Pasíva!I:I)/Units</f>
        <v>0</v>
      </c>
      <c r="G71" s="194">
        <f>SUMIF(Pasíva!A:A,B71,Pasíva!H:H)/Units</f>
        <v>0</v>
      </c>
      <c r="H71" s="194">
        <f>SUMIF(Pasíva!A:A,B71,Pasíva!G:G)/Units</f>
        <v>0</v>
      </c>
      <c r="I71" s="1230">
        <f>SUMIF(Pasíva!A:A,B71,Pasíva!F:F)/Units</f>
        <v>0</v>
      </c>
      <c r="J71" s="920">
        <f>I71</f>
        <v>0</v>
      </c>
      <c r="K71" s="920">
        <f t="shared" ref="K71:N71" si="48">J71</f>
        <v>0</v>
      </c>
      <c r="L71" s="956">
        <f t="shared" si="48"/>
        <v>0</v>
      </c>
      <c r="M71" s="956">
        <f t="shared" si="48"/>
        <v>0</v>
      </c>
      <c r="N71" s="957">
        <f t="shared" si="48"/>
        <v>0</v>
      </c>
    </row>
    <row r="72" spans="2:14" ht="11.25" customHeight="1" x14ac:dyDescent="0.2">
      <c r="B72" s="274"/>
      <c r="C72" s="269"/>
      <c r="D72" s="269"/>
      <c r="E72" s="198">
        <f t="shared" ref="E72:I72" si="49">SUM(E67:E71)</f>
        <v>0</v>
      </c>
      <c r="F72" s="198">
        <f t="shared" si="49"/>
        <v>0</v>
      </c>
      <c r="G72" s="198">
        <f t="shared" si="49"/>
        <v>0</v>
      </c>
      <c r="H72" s="198">
        <f t="shared" si="49"/>
        <v>0</v>
      </c>
      <c r="I72" s="207">
        <f t="shared" si="49"/>
        <v>70000</v>
      </c>
      <c r="J72" s="918">
        <f>SUM(J67:J71)</f>
        <v>70000</v>
      </c>
      <c r="K72" s="918">
        <f t="shared" ref="K72:M72" si="50">SUM(K67:K71)</f>
        <v>70000</v>
      </c>
      <c r="L72" s="921">
        <f t="shared" si="50"/>
        <v>70000</v>
      </c>
      <c r="M72" s="921">
        <f t="shared" si="50"/>
        <v>70000</v>
      </c>
      <c r="N72" s="954">
        <f t="shared" ref="N72" si="51">SUM(N67:N71)</f>
        <v>70000</v>
      </c>
    </row>
    <row r="73" spans="2:14" ht="11.25" customHeight="1" x14ac:dyDescent="0.2">
      <c r="B73" s="274"/>
      <c r="C73" s="157" t="s">
        <v>822</v>
      </c>
      <c r="D73" s="157" t="s">
        <v>137</v>
      </c>
      <c r="I73" s="275"/>
      <c r="J73" s="283"/>
      <c r="K73" s="283"/>
      <c r="L73" s="283"/>
      <c r="M73" s="283"/>
      <c r="N73" s="1464"/>
    </row>
    <row r="74" spans="2:14" ht="11.25" customHeight="1" x14ac:dyDescent="0.2">
      <c r="B74" s="274" t="s">
        <v>16</v>
      </c>
      <c r="C74" s="158" t="s">
        <v>38</v>
      </c>
      <c r="D74" s="158" t="s">
        <v>138</v>
      </c>
      <c r="E74" s="194">
        <f>SUMIF(Pasíva!A:A,B74,Pasíva!J:J)/Units</f>
        <v>0</v>
      </c>
      <c r="F74" s="194">
        <f>SUMIF(Pasíva!A:A,B74,Pasíva!I:I)/Units</f>
        <v>0</v>
      </c>
      <c r="G74" s="194">
        <f>SUMIF(Pasíva!A:A,B74,Pasíva!H:H)/Units</f>
        <v>0</v>
      </c>
      <c r="H74" s="194">
        <f>SUMIF(Pasíva!A:A,B74,Pasíva!G:G)/Units</f>
        <v>0</v>
      </c>
      <c r="I74" s="195">
        <f>SUMIF(Pasíva!A:A,B74,Pasíva!F:F)/Units</f>
        <v>0</v>
      </c>
      <c r="J74" s="1347">
        <f>NWC!K21</f>
        <v>54519.874246575338</v>
      </c>
      <c r="K74" s="1347">
        <f>NWC!L21</f>
        <v>89115.196550273948</v>
      </c>
      <c r="L74" s="1347">
        <f>NWC!M21</f>
        <v>118470.7991928971</v>
      </c>
      <c r="M74" s="1347">
        <f>NWC!N21</f>
        <v>143528.31325496733</v>
      </c>
      <c r="N74" s="1465">
        <f>NWC!O21</f>
        <v>174401.76953993726</v>
      </c>
    </row>
    <row r="75" spans="2:14" ht="11.25" customHeight="1" x14ac:dyDescent="0.2">
      <c r="B75" s="274">
        <v>91</v>
      </c>
      <c r="C75" s="158" t="s">
        <v>150</v>
      </c>
      <c r="D75" s="158" t="s">
        <v>660</v>
      </c>
      <c r="E75" s="194">
        <f>SUMIF(Pasíva!A:A,B75,Pasíva!J:J)/Units</f>
        <v>0</v>
      </c>
      <c r="F75" s="194">
        <f>SUMIF(Pasíva!A:A,B75,Pasíva!I:I)/Units</f>
        <v>0</v>
      </c>
      <c r="G75" s="194">
        <f>SUMIF(Pasíva!A:A,B75,Pasíva!H:H)/Units</f>
        <v>0</v>
      </c>
      <c r="H75" s="194">
        <f>SUMIF(Pasíva!A:A,B75,Pasíva!G:G)/Units</f>
        <v>0</v>
      </c>
      <c r="I75" s="195">
        <f>SUMIF(Pasíva!A:A,B75,Pasíva!F:F)/Units</f>
        <v>0</v>
      </c>
      <c r="J75" s="1347">
        <v>0</v>
      </c>
      <c r="K75" s="1347">
        <v>0</v>
      </c>
      <c r="L75" s="1347">
        <v>0</v>
      </c>
      <c r="M75" s="1347">
        <v>0</v>
      </c>
      <c r="N75" s="1465">
        <v>0</v>
      </c>
    </row>
    <row r="76" spans="2:14" ht="11.25" hidden="1" customHeight="1" x14ac:dyDescent="0.2">
      <c r="B76" s="274" t="s">
        <v>146</v>
      </c>
      <c r="C76" s="158" t="s">
        <v>819</v>
      </c>
      <c r="D76" s="158" t="s">
        <v>659</v>
      </c>
      <c r="E76" s="194">
        <f>SUMIF(Pasíva!A:A,B76,Pasíva!J:J)/Units</f>
        <v>0</v>
      </c>
      <c r="F76" s="194">
        <f>SUMIF(Pasíva!A:A,B76,Pasíva!I:I)/Units</f>
        <v>0</v>
      </c>
      <c r="G76" s="194">
        <f>SUMIF(Pasíva!A:A,B76,Pasíva!H:H)/Units</f>
        <v>0</v>
      </c>
      <c r="H76" s="194">
        <f>SUMIF(Pasíva!A:A,B76,Pasíva!G:G)/Units</f>
        <v>0</v>
      </c>
      <c r="I76" s="195">
        <f>SUMIF(Pasíva!A:A,B76,Pasíva!F:F)/Units</f>
        <v>0</v>
      </c>
      <c r="J76" s="1347">
        <f>I76</f>
        <v>0</v>
      </c>
      <c r="K76" s="1347">
        <f>J76</f>
        <v>0</v>
      </c>
      <c r="L76" s="1347">
        <f t="shared" ref="L76:N76" si="52">K76</f>
        <v>0</v>
      </c>
      <c r="M76" s="1347">
        <f t="shared" si="52"/>
        <v>0</v>
      </c>
      <c r="N76" s="1465">
        <f t="shared" si="52"/>
        <v>0</v>
      </c>
    </row>
    <row r="77" spans="2:14" ht="11.25" hidden="1" customHeight="1" x14ac:dyDescent="0.2">
      <c r="B77" s="274" t="s">
        <v>149</v>
      </c>
      <c r="C77" s="158" t="s">
        <v>820</v>
      </c>
      <c r="D77" s="158" t="s">
        <v>742</v>
      </c>
      <c r="E77" s="194">
        <f>SUMIF(Pasíva!A:A,B77,Pasíva!J:J)/Units</f>
        <v>0</v>
      </c>
      <c r="F77" s="194">
        <f>SUMIF(Pasíva!A:A,B77,Pasíva!I:I)/Units</f>
        <v>0</v>
      </c>
      <c r="G77" s="194">
        <f>SUMIF(Pasíva!A:A,B77,Pasíva!H:H)/Units</f>
        <v>0</v>
      </c>
      <c r="H77" s="194">
        <f>SUMIF(Pasíva!A:A,B77,Pasíva!G:G)/Units</f>
        <v>0</v>
      </c>
      <c r="I77" s="195">
        <f>SUMIF(Pasíva!A:A,B77,Pasíva!F:F)/Units</f>
        <v>0</v>
      </c>
      <c r="J77" s="1347">
        <f t="shared" ref="J77:N77" si="53">AVERAGE($G77:$I77)</f>
        <v>0</v>
      </c>
      <c r="K77" s="1347">
        <f t="shared" si="53"/>
        <v>0</v>
      </c>
      <c r="L77" s="1347">
        <f t="shared" si="53"/>
        <v>0</v>
      </c>
      <c r="M77" s="1347">
        <f t="shared" si="53"/>
        <v>0</v>
      </c>
      <c r="N77" s="1465">
        <f t="shared" si="53"/>
        <v>0</v>
      </c>
    </row>
    <row r="78" spans="2:14" ht="11.25" customHeight="1" x14ac:dyDescent="0.2">
      <c r="B78" s="274">
        <v>90</v>
      </c>
      <c r="C78" s="158" t="s">
        <v>823</v>
      </c>
      <c r="D78" s="1207" t="s">
        <v>661</v>
      </c>
      <c r="E78" s="850">
        <f>SUMIF(Pasíva!A:A,B78,Pasíva!J:J)/Units</f>
        <v>0</v>
      </c>
      <c r="F78" s="850">
        <f>SUMIF(Pasíva!A:A,B78,Pasíva!I:I)/Units</f>
        <v>0</v>
      </c>
      <c r="G78" s="850">
        <f>SUMIF(Pasíva!A:A,B78,Pasíva!H:H)/Units</f>
        <v>0</v>
      </c>
      <c r="H78" s="850">
        <f>SUMIF(Pasíva!A:A,B78,Pasíva!G:G)/Units</f>
        <v>0</v>
      </c>
      <c r="I78" s="1230">
        <f>SUMIF(Pasíva!A:A,B78,Pasíva!F:F)/Units</f>
        <v>0</v>
      </c>
      <c r="J78" s="1348">
        <f>NWC!K22+NWC!K23</f>
        <v>70959.487500000003</v>
      </c>
      <c r="K78" s="1348">
        <f>NWC!L22+NWC!L23</f>
        <v>122751.71926874999</v>
      </c>
      <c r="L78" s="1348">
        <f>NWC!M22+NWC!M23</f>
        <v>164843.28380600433</v>
      </c>
      <c r="M78" s="1348">
        <f>NWC!N22+NWC!N23</f>
        <v>204339.73460592297</v>
      </c>
      <c r="N78" s="1395">
        <f>NWC!O22+NWC!O23</f>
        <v>253299.53501750203</v>
      </c>
    </row>
    <row r="79" spans="2:14" ht="11.25" customHeight="1" x14ac:dyDescent="0.2">
      <c r="B79" s="274"/>
      <c r="C79" s="286"/>
      <c r="D79" s="285"/>
      <c r="E79" s="206">
        <f t="shared" ref="E79:J79" si="54">SUM(E74:E78)</f>
        <v>0</v>
      </c>
      <c r="F79" s="1083">
        <f t="shared" si="54"/>
        <v>0</v>
      </c>
      <c r="G79" s="206">
        <f t="shared" si="54"/>
        <v>0</v>
      </c>
      <c r="H79" s="206">
        <f t="shared" si="54"/>
        <v>0</v>
      </c>
      <c r="I79" s="1232">
        <f t="shared" si="54"/>
        <v>0</v>
      </c>
      <c r="J79" s="921">
        <f t="shared" si="54"/>
        <v>125479.36174657533</v>
      </c>
      <c r="K79" s="921">
        <f t="shared" ref="K79:M79" si="55">SUM(K74:K78)</f>
        <v>211866.91581902394</v>
      </c>
      <c r="L79" s="1002">
        <f t="shared" si="55"/>
        <v>283314.08299890143</v>
      </c>
      <c r="M79" s="1002">
        <f t="shared" si="55"/>
        <v>347868.04786089028</v>
      </c>
      <c r="N79" s="1349">
        <f t="shared" ref="N79" si="56">SUM(N74:N78)</f>
        <v>427701.30455743929</v>
      </c>
    </row>
    <row r="80" spans="2:14" ht="11.25" customHeight="1" x14ac:dyDescent="0.2">
      <c r="B80" s="274">
        <v>92</v>
      </c>
      <c r="C80" s="287" t="s">
        <v>814</v>
      </c>
      <c r="D80" s="287" t="s">
        <v>662</v>
      </c>
      <c r="E80" s="267">
        <f>SUMIF(Pasíva!A:A,B80,Pasíva!J:J)/Units</f>
        <v>0</v>
      </c>
      <c r="F80" s="267">
        <f>SUMIF(Pasíva!A:A,B80,Pasíva!I:I)/Units</f>
        <v>0</v>
      </c>
      <c r="G80" s="267">
        <f>SUMIF(Pasíva!A:A,B80,Pasíva!H:H)/Units</f>
        <v>0</v>
      </c>
      <c r="H80" s="267">
        <f>SUMIF(Pasíva!A:A,B80,Pasíva!G:G)/Units</f>
        <v>0</v>
      </c>
      <c r="I80" s="268">
        <f>SUMIF(Pasíva!A:A,B80,Pasíva!F:F)/Units</f>
        <v>0</v>
      </c>
      <c r="J80" s="958">
        <f>SUMIF(Pasíva!D:D,E80,Pasíva!J:J)/Units</f>
        <v>0</v>
      </c>
      <c r="K80" s="958">
        <f>SUMIF(Pasíva!E:E,F80,Pasíva!K:K)/Units</f>
        <v>0</v>
      </c>
      <c r="L80" s="958">
        <f>SUMIF(Pasíva!F:F,G80,Pasíva!L:L)/Units</f>
        <v>0</v>
      </c>
      <c r="M80" s="958">
        <f>SUMIF(Pasíva!G:G,H80,Pasíva!M:M)/Units</f>
        <v>0</v>
      </c>
      <c r="N80" s="1350">
        <f>SUMIF(Pasíva!H:H,I80,Pasíva!N:N)/Units</f>
        <v>0</v>
      </c>
    </row>
    <row r="81" spans="1:14" ht="11.25" customHeight="1" x14ac:dyDescent="0.2">
      <c r="B81" s="274"/>
      <c r="C81" s="156" t="s">
        <v>824</v>
      </c>
      <c r="D81" s="156" t="s">
        <v>663</v>
      </c>
      <c r="E81" s="198">
        <f t="shared" ref="E81:J81" si="57">E72+E79+E80</f>
        <v>0</v>
      </c>
      <c r="F81" s="198">
        <f t="shared" si="57"/>
        <v>0</v>
      </c>
      <c r="G81" s="198">
        <f t="shared" si="57"/>
        <v>0</v>
      </c>
      <c r="H81" s="198">
        <f t="shared" si="57"/>
        <v>0</v>
      </c>
      <c r="I81" s="207">
        <f t="shared" si="57"/>
        <v>70000</v>
      </c>
      <c r="J81" s="918">
        <f t="shared" si="57"/>
        <v>195479.36174657533</v>
      </c>
      <c r="K81" s="918">
        <f t="shared" ref="K81:M81" si="58">K72+K79+K80</f>
        <v>281866.91581902397</v>
      </c>
      <c r="L81" s="921">
        <f t="shared" si="58"/>
        <v>353314.08299890143</v>
      </c>
      <c r="M81" s="921">
        <f t="shared" si="58"/>
        <v>417868.04786089028</v>
      </c>
      <c r="N81" s="1346">
        <f t="shared" ref="N81" si="59">N72+N79+N80</f>
        <v>497701.30455743929</v>
      </c>
    </row>
    <row r="82" spans="1:14" ht="11.25" customHeight="1" x14ac:dyDescent="0.2">
      <c r="B82" s="274"/>
      <c r="C82" s="154" t="s">
        <v>10</v>
      </c>
      <c r="D82" s="154" t="s">
        <v>128</v>
      </c>
      <c r="E82" s="212"/>
      <c r="F82" s="212"/>
      <c r="G82" s="212"/>
      <c r="H82" s="212"/>
      <c r="I82" s="213"/>
      <c r="J82" s="909"/>
      <c r="K82" s="909"/>
      <c r="L82" s="909"/>
      <c r="M82" s="909"/>
      <c r="N82" s="912"/>
    </row>
    <row r="83" spans="1:14" ht="11.25" customHeight="1" x14ac:dyDescent="0.2">
      <c r="B83" s="274">
        <v>80</v>
      </c>
      <c r="C83" s="284" t="s">
        <v>11</v>
      </c>
      <c r="D83" s="284" t="s">
        <v>130</v>
      </c>
      <c r="E83" s="194">
        <f>SUMIF(Pasíva!A:A,B83,Pasíva!J:J)/Units</f>
        <v>0</v>
      </c>
      <c r="F83" s="194">
        <f>SUMIF(Pasíva!A:A,B83,Pasíva!I:I)/Units</f>
        <v>0</v>
      </c>
      <c r="G83" s="194">
        <f>SUMIF(Pasíva!A:A,B83,Pasíva!H:H)/Units</f>
        <v>0</v>
      </c>
      <c r="H83" s="194">
        <f>SUMIF(Pasíva!A:A,B83,Pasíva!G:G)/Units</f>
        <v>0</v>
      </c>
      <c r="I83" s="1520">
        <v>5000</v>
      </c>
      <c r="J83" s="920">
        <f>I83</f>
        <v>5000</v>
      </c>
      <c r="K83" s="920">
        <f>J83/Units</f>
        <v>5000</v>
      </c>
      <c r="L83" s="920">
        <f>(K83)/Units</f>
        <v>5000</v>
      </c>
      <c r="M83" s="920">
        <f>L83/Units</f>
        <v>5000</v>
      </c>
      <c r="N83" s="953">
        <f>M83/Units</f>
        <v>5000</v>
      </c>
    </row>
    <row r="84" spans="1:14" ht="11.25" customHeight="1" x14ac:dyDescent="0.2">
      <c r="B84" s="274">
        <v>83</v>
      </c>
      <c r="C84" s="155" t="s">
        <v>12</v>
      </c>
      <c r="D84" s="155" t="s">
        <v>650</v>
      </c>
      <c r="E84" s="194">
        <f>SUMIF(Pasíva!A:A,B84,Pasíva!J:J)/Units</f>
        <v>0</v>
      </c>
      <c r="F84" s="194">
        <f>SUMIF(Pasíva!A:A,B84,Pasíva!I:I)/Units</f>
        <v>0</v>
      </c>
      <c r="G84" s="194">
        <f>SUMIF(Pasíva!A:A,B84,Pasíva!H:H)/Units</f>
        <v>0</v>
      </c>
      <c r="H84" s="194">
        <f>SUMIF(Pasíva!A:A,B84,Pasíva!G:G)/Units</f>
        <v>0</v>
      </c>
      <c r="I84" s="195">
        <v>0</v>
      </c>
      <c r="J84" s="920">
        <f>I84</f>
        <v>0</v>
      </c>
      <c r="K84" s="920">
        <f t="shared" ref="K84:N84" si="60">J84</f>
        <v>0</v>
      </c>
      <c r="L84" s="920">
        <f t="shared" si="60"/>
        <v>0</v>
      </c>
      <c r="M84" s="920">
        <f t="shared" si="60"/>
        <v>0</v>
      </c>
      <c r="N84" s="953">
        <f t="shared" si="60"/>
        <v>0</v>
      </c>
    </row>
    <row r="85" spans="1:14" ht="11.25" customHeight="1" x14ac:dyDescent="0.2">
      <c r="B85" s="274">
        <v>84</v>
      </c>
      <c r="C85" s="284" t="s">
        <v>13</v>
      </c>
      <c r="D85" s="284" t="s">
        <v>651</v>
      </c>
      <c r="E85" s="194">
        <f>SUMIF(Pasíva!A:A,B85,Pasíva!J:J)/Units</f>
        <v>0</v>
      </c>
      <c r="F85" s="194">
        <f>SUMIF(Pasíva!A:A,B85,Pasíva!I:I)/Units</f>
        <v>0</v>
      </c>
      <c r="G85" s="194">
        <f>SUMIF(Pasíva!A:A,B85,Pasíva!H:H)/Units</f>
        <v>0</v>
      </c>
      <c r="H85" s="194">
        <f>SUMIF(Pasíva!A:A,B85,Pasíva!G:G)/Units</f>
        <v>0</v>
      </c>
      <c r="I85" s="195">
        <f>SUMIF(Pasíva!A:A,B85,Pasíva!F:F)/Units</f>
        <v>0</v>
      </c>
      <c r="J85" s="920">
        <f>SUM(I85:I86)</f>
        <v>0</v>
      </c>
      <c r="K85" s="920">
        <f t="shared" ref="K85:N85" si="61">SUM(J85:J86)</f>
        <v>171093.40841666667</v>
      </c>
      <c r="L85" s="920">
        <f t="shared" si="61"/>
        <v>530263.05288070836</v>
      </c>
      <c r="M85" s="920">
        <f t="shared" si="61"/>
        <v>1028893.7852250698</v>
      </c>
      <c r="N85" s="953">
        <f t="shared" si="61"/>
        <v>1686278.5185045071</v>
      </c>
    </row>
    <row r="86" spans="1:14" ht="11.25" customHeight="1" x14ac:dyDescent="0.2">
      <c r="B86" s="274"/>
      <c r="C86" s="288" t="s">
        <v>815</v>
      </c>
      <c r="D86" s="288" t="s">
        <v>653</v>
      </c>
      <c r="E86" s="194">
        <f t="shared" ref="E86:N86" si="62">E44</f>
        <v>0</v>
      </c>
      <c r="F86" s="194">
        <f t="shared" si="62"/>
        <v>0</v>
      </c>
      <c r="G86" s="194">
        <f t="shared" si="62"/>
        <v>0</v>
      </c>
      <c r="H86" s="194">
        <f t="shared" si="62"/>
        <v>0</v>
      </c>
      <c r="I86" s="1230">
        <f t="shared" si="62"/>
        <v>0</v>
      </c>
      <c r="J86" s="920">
        <f>J44</f>
        <v>171093.40841666667</v>
      </c>
      <c r="K86" s="920">
        <f t="shared" si="62"/>
        <v>359169.64446404169</v>
      </c>
      <c r="L86" s="956">
        <f t="shared" si="62"/>
        <v>498630.73234436149</v>
      </c>
      <c r="M86" s="956">
        <f t="shared" si="62"/>
        <v>657384.73327943729</v>
      </c>
      <c r="N86" s="957">
        <f t="shared" si="62"/>
        <v>860043.77284989785</v>
      </c>
    </row>
    <row r="87" spans="1:14" ht="11.25" customHeight="1" x14ac:dyDescent="0.2">
      <c r="B87" s="274"/>
      <c r="C87" s="156"/>
      <c r="D87" s="156"/>
      <c r="E87" s="198">
        <f t="shared" ref="E87:H87" si="63">SUM(E83:E86)</f>
        <v>0</v>
      </c>
      <c r="F87" s="198">
        <f t="shared" si="63"/>
        <v>0</v>
      </c>
      <c r="G87" s="198">
        <f t="shared" si="63"/>
        <v>0</v>
      </c>
      <c r="H87" s="198">
        <f t="shared" si="63"/>
        <v>0</v>
      </c>
      <c r="I87" s="1231">
        <f>SUM(I83:I86)</f>
        <v>5000</v>
      </c>
      <c r="J87" s="918">
        <f t="shared" ref="J87:M87" si="64">SUM(J83:J86)</f>
        <v>176093.40841666667</v>
      </c>
      <c r="K87" s="918">
        <f t="shared" si="64"/>
        <v>535263.05288070836</v>
      </c>
      <c r="L87" s="921">
        <f t="shared" si="64"/>
        <v>1033893.7852250698</v>
      </c>
      <c r="M87" s="1005">
        <f t="shared" si="64"/>
        <v>1691278.5185045071</v>
      </c>
      <c r="N87" s="1006">
        <f t="shared" ref="N87" si="65">SUM(N83:N86)</f>
        <v>2551322.2913544048</v>
      </c>
    </row>
    <row r="88" spans="1:14" ht="11.25" customHeight="1" thickBot="1" x14ac:dyDescent="0.25">
      <c r="A88" s="273"/>
      <c r="C88" s="159" t="s">
        <v>825</v>
      </c>
      <c r="D88" s="159" t="s">
        <v>665</v>
      </c>
      <c r="E88" s="200">
        <f t="shared" ref="E88:H88" si="66">E81+E87</f>
        <v>0</v>
      </c>
      <c r="F88" s="200">
        <f t="shared" si="66"/>
        <v>0</v>
      </c>
      <c r="G88" s="200">
        <f t="shared" si="66"/>
        <v>0</v>
      </c>
      <c r="H88" s="200">
        <f t="shared" si="66"/>
        <v>0</v>
      </c>
      <c r="I88" s="201">
        <f>I81+I87</f>
        <v>75000</v>
      </c>
      <c r="J88" s="959">
        <f t="shared" ref="J88:M88" si="67">J81+J87</f>
        <v>371572.77016324201</v>
      </c>
      <c r="K88" s="959">
        <f t="shared" si="67"/>
        <v>817129.96869973233</v>
      </c>
      <c r="L88" s="959">
        <f t="shared" si="67"/>
        <v>1387207.8682239712</v>
      </c>
      <c r="M88" s="1018">
        <f t="shared" si="67"/>
        <v>2109146.5663653975</v>
      </c>
      <c r="N88" s="1019">
        <f t="shared" ref="N88" si="68">N81+N87</f>
        <v>3049023.5959118442</v>
      </c>
    </row>
    <row r="90" spans="1:14" ht="11.25" customHeight="1" x14ac:dyDescent="0.2">
      <c r="B90" s="175"/>
      <c r="C90" s="86" t="s">
        <v>590</v>
      </c>
      <c r="D90" s="86"/>
      <c r="E90" s="457">
        <f t="shared" ref="E90:J90" si="69">E64-E88</f>
        <v>0</v>
      </c>
      <c r="F90" s="457">
        <f t="shared" si="69"/>
        <v>0</v>
      </c>
      <c r="G90" s="457">
        <f t="shared" si="69"/>
        <v>0</v>
      </c>
      <c r="H90" s="457">
        <f t="shared" si="69"/>
        <v>0</v>
      </c>
      <c r="I90" s="457">
        <f t="shared" si="69"/>
        <v>0</v>
      </c>
      <c r="J90" s="457">
        <f t="shared" si="69"/>
        <v>0</v>
      </c>
      <c r="K90" s="457">
        <f t="shared" ref="K90:N90" si="70">K64-K88</f>
        <v>0</v>
      </c>
      <c r="L90" s="457">
        <f t="shared" si="70"/>
        <v>0</v>
      </c>
      <c r="M90" s="457">
        <f t="shared" si="70"/>
        <v>0</v>
      </c>
      <c r="N90" s="457">
        <f t="shared" si="70"/>
        <v>0</v>
      </c>
    </row>
    <row r="91" spans="1:14" ht="11.25" customHeight="1" x14ac:dyDescent="0.2">
      <c r="C91" s="86"/>
      <c r="D91" s="86"/>
      <c r="E91" s="86"/>
      <c r="F91" s="86"/>
      <c r="G91" s="86"/>
      <c r="H91" s="86"/>
      <c r="I91" s="86"/>
      <c r="J91" s="86"/>
      <c r="K91" s="86"/>
      <c r="L91" s="86"/>
      <c r="M91" s="86"/>
      <c r="N91" s="86"/>
    </row>
    <row r="92" spans="1:14" ht="19.5" customHeight="1" x14ac:dyDescent="0.2">
      <c r="C92" s="160" t="s">
        <v>826</v>
      </c>
      <c r="D92" s="160" t="s">
        <v>681</v>
      </c>
      <c r="E92" s="161"/>
      <c r="F92" s="161"/>
      <c r="G92" s="161"/>
      <c r="H92" s="161"/>
      <c r="I92" s="1522"/>
      <c r="J92" s="161"/>
      <c r="K92" s="161"/>
      <c r="L92" s="161"/>
      <c r="M92" s="994"/>
      <c r="N92" s="994"/>
    </row>
    <row r="93" spans="1:14" ht="11.25" customHeight="1" x14ac:dyDescent="0.2">
      <c r="C93" s="639" t="str">
        <f>'Detailné výkazy'!C7</f>
        <v xml:space="preserve">€  </v>
      </c>
      <c r="D93" s="639" t="s">
        <v>41</v>
      </c>
      <c r="E93" s="640" t="str">
        <f>E7</f>
        <v>FY20</v>
      </c>
      <c r="F93" s="640" t="str">
        <f t="shared" ref="F93:I93" si="71">F7</f>
        <v>FY21</v>
      </c>
      <c r="G93" s="640" t="str">
        <f t="shared" si="71"/>
        <v>FY22</v>
      </c>
      <c r="H93" s="640" t="str">
        <f t="shared" si="71"/>
        <v>FY23</v>
      </c>
      <c r="I93" s="1238" t="str">
        <f t="shared" si="71"/>
        <v>FY24</v>
      </c>
      <c r="J93" s="847" t="str">
        <f>CONCATENATE("FY",RIGHT(J2,2))</f>
        <v>FY25</v>
      </c>
      <c r="K93" s="847" t="str">
        <f t="shared" ref="K93:N93" si="72">CONCATENATE("FY",RIGHT(K2,2))</f>
        <v>FY26</v>
      </c>
      <c r="L93" s="847" t="str">
        <f t="shared" si="72"/>
        <v>FY27</v>
      </c>
      <c r="M93" s="847" t="str">
        <f t="shared" si="72"/>
        <v>FY28</v>
      </c>
      <c r="N93" s="848" t="str">
        <f t="shared" si="72"/>
        <v>FY29</v>
      </c>
    </row>
    <row r="94" spans="1:14" ht="11.25" customHeight="1" x14ac:dyDescent="0.2">
      <c r="A94" s="271"/>
      <c r="B94" s="274"/>
      <c r="C94" s="638"/>
      <c r="D94" s="641"/>
      <c r="E94" s="1446" t="s">
        <v>1308</v>
      </c>
      <c r="F94" s="1446" t="s">
        <v>1308</v>
      </c>
      <c r="G94" s="1446" t="s">
        <v>1308</v>
      </c>
      <c r="H94" s="1446" t="s">
        <v>1308</v>
      </c>
      <c r="I94" s="1521" t="s">
        <v>1309</v>
      </c>
      <c r="J94" s="845" t="s">
        <v>1309</v>
      </c>
      <c r="K94" s="845" t="s">
        <v>1309</v>
      </c>
      <c r="L94" s="845" t="s">
        <v>1309</v>
      </c>
      <c r="M94" s="845" t="s">
        <v>1309</v>
      </c>
      <c r="N94" s="846" t="s">
        <v>1309</v>
      </c>
    </row>
    <row r="95" spans="1:14" ht="11.25" customHeight="1" x14ac:dyDescent="0.2">
      <c r="C95" s="164" t="s">
        <v>827</v>
      </c>
      <c r="D95" s="164" t="s">
        <v>636</v>
      </c>
      <c r="E95" s="243"/>
      <c r="F95" s="243">
        <f t="shared" ref="F95:N95" si="73">F44</f>
        <v>0</v>
      </c>
      <c r="G95" s="243">
        <f t="shared" si="73"/>
        <v>0</v>
      </c>
      <c r="H95" s="243">
        <f t="shared" si="73"/>
        <v>0</v>
      </c>
      <c r="I95" s="1239">
        <f t="shared" si="73"/>
        <v>0</v>
      </c>
      <c r="J95" s="961">
        <f>J44</f>
        <v>171093.40841666667</v>
      </c>
      <c r="K95" s="961">
        <f t="shared" si="73"/>
        <v>359169.64446404169</v>
      </c>
      <c r="L95" s="961">
        <f t="shared" si="73"/>
        <v>498630.73234436149</v>
      </c>
      <c r="M95" s="961">
        <f t="shared" si="73"/>
        <v>657384.73327943729</v>
      </c>
      <c r="N95" s="962">
        <f t="shared" si="73"/>
        <v>860043.77284989785</v>
      </c>
    </row>
    <row r="96" spans="1:14" ht="11.25" customHeight="1" x14ac:dyDescent="0.2">
      <c r="C96" s="165" t="s">
        <v>31</v>
      </c>
      <c r="D96" s="165" t="s">
        <v>79</v>
      </c>
      <c r="E96" s="245"/>
      <c r="F96" s="245">
        <f t="shared" ref="F96:N96" si="74">-F38</f>
        <v>0</v>
      </c>
      <c r="G96" s="245">
        <f t="shared" si="74"/>
        <v>0</v>
      </c>
      <c r="H96" s="245">
        <f t="shared" si="74"/>
        <v>0</v>
      </c>
      <c r="I96" s="246">
        <f t="shared" si="74"/>
        <v>0</v>
      </c>
      <c r="J96" s="996">
        <f>-J38</f>
        <v>6666.666666666667</v>
      </c>
      <c r="K96" s="996">
        <f t="shared" si="74"/>
        <v>9166.6666666666679</v>
      </c>
      <c r="L96" s="996">
        <f t="shared" si="74"/>
        <v>9166.6666666666679</v>
      </c>
      <c r="M96" s="996">
        <f t="shared" si="74"/>
        <v>11666.666666666668</v>
      </c>
      <c r="N96" s="963">
        <f t="shared" si="74"/>
        <v>9166.6666666666679</v>
      </c>
    </row>
    <row r="97" spans="2:14" ht="11.25" customHeight="1" x14ac:dyDescent="0.2">
      <c r="C97" s="166" t="s">
        <v>828</v>
      </c>
      <c r="D97" s="166" t="s">
        <v>670</v>
      </c>
      <c r="E97" s="247"/>
      <c r="F97" s="247"/>
      <c r="G97" s="247"/>
      <c r="H97" s="247"/>
      <c r="I97" s="248"/>
      <c r="J97" s="995"/>
      <c r="K97" s="995"/>
      <c r="L97" s="995"/>
      <c r="M97" s="995"/>
      <c r="N97" s="964"/>
    </row>
    <row r="98" spans="2:14" ht="11.25" customHeight="1" x14ac:dyDescent="0.2">
      <c r="C98" s="167" t="s">
        <v>829</v>
      </c>
      <c r="D98" s="167" t="s">
        <v>666</v>
      </c>
      <c r="E98" s="249"/>
      <c r="F98" s="249">
        <f>-(F59-E59)</f>
        <v>0</v>
      </c>
      <c r="G98" s="249">
        <f t="shared" ref="G98:I98" si="75">-(G59-F59)</f>
        <v>0</v>
      </c>
      <c r="H98" s="249">
        <f t="shared" si="75"/>
        <v>0</v>
      </c>
      <c r="I98" s="250">
        <f t="shared" si="75"/>
        <v>0</v>
      </c>
      <c r="J98" s="997">
        <f>-(J59-I59)</f>
        <v>-24743.034246575342</v>
      </c>
      <c r="K98" s="997">
        <f>-(K59-J59)</f>
        <v>-18059.557777397255</v>
      </c>
      <c r="L98" s="997">
        <f t="shared" ref="L98:N98" si="76">-(L59-K59)</f>
        <v>-14677.008805020188</v>
      </c>
      <c r="M98" s="997">
        <f t="shared" si="76"/>
        <v>-13772.112358626677</v>
      </c>
      <c r="N98" s="965">
        <f t="shared" si="76"/>
        <v>-17071.910479753598</v>
      </c>
    </row>
    <row r="99" spans="2:14" ht="11.25" customHeight="1" x14ac:dyDescent="0.2">
      <c r="C99" s="167" t="s">
        <v>830</v>
      </c>
      <c r="D99" s="167" t="s">
        <v>54</v>
      </c>
      <c r="E99" s="249"/>
      <c r="F99" s="249">
        <f>-(F58-E58)</f>
        <v>0</v>
      </c>
      <c r="G99" s="249">
        <f>-(G58-F58)</f>
        <v>0</v>
      </c>
      <c r="H99" s="249">
        <f>-(H58-G58)</f>
        <v>0</v>
      </c>
      <c r="I99" s="250">
        <f>-(I58-H58)</f>
        <v>0</v>
      </c>
      <c r="J99" s="997">
        <f>-(J58-I58)</f>
        <v>0</v>
      </c>
      <c r="K99" s="997">
        <f t="shared" ref="K99:N99" si="77">-(K58-J58)</f>
        <v>0</v>
      </c>
      <c r="L99" s="997">
        <f t="shared" si="77"/>
        <v>0</v>
      </c>
      <c r="M99" s="997">
        <f t="shared" si="77"/>
        <v>0</v>
      </c>
      <c r="N99" s="965">
        <f t="shared" si="77"/>
        <v>0</v>
      </c>
    </row>
    <row r="100" spans="2:14" ht="11.25" customHeight="1" x14ac:dyDescent="0.2">
      <c r="B100" s="289"/>
      <c r="C100" s="167" t="s">
        <v>831</v>
      </c>
      <c r="D100" s="167" t="s">
        <v>667</v>
      </c>
      <c r="E100" s="251"/>
      <c r="F100" s="251">
        <f>-(SUM(F61,F62)-SUM(E61,E62))</f>
        <v>0</v>
      </c>
      <c r="G100" s="251">
        <f t="shared" ref="G100:I100" si="78">-(SUM(G61,G62)-SUM(F61,F62))</f>
        <v>0</v>
      </c>
      <c r="H100" s="251">
        <f t="shared" si="78"/>
        <v>0</v>
      </c>
      <c r="I100" s="252">
        <f t="shared" si="78"/>
        <v>0</v>
      </c>
      <c r="J100" s="997">
        <f>-(SUM(J61,J62)-SUM(I61,I62))</f>
        <v>-58057.762500000004</v>
      </c>
      <c r="K100" s="997">
        <f>-(SUM(K61,K62)-SUM(J61,J62))</f>
        <v>-42375.462356249984</v>
      </c>
      <c r="L100" s="997">
        <f t="shared" ref="L100:N100" si="79">-(SUM(L61,L62)-SUM(K61,K62))</f>
        <v>-34438.552803208091</v>
      </c>
      <c r="M100" s="997">
        <f t="shared" si="79"/>
        <v>-32315.27792720616</v>
      </c>
      <c r="N100" s="965">
        <f t="shared" si="79"/>
        <v>-40058.018518564699</v>
      </c>
    </row>
    <row r="101" spans="2:14" ht="11.25" customHeight="1" x14ac:dyDescent="0.2">
      <c r="C101" s="167" t="s">
        <v>832</v>
      </c>
      <c r="D101" s="167" t="s">
        <v>668</v>
      </c>
      <c r="E101" s="249"/>
      <c r="F101" s="249">
        <f t="shared" ref="F101:K101" si="80">(SUM(F67,F74)-SUM(E67,E74))</f>
        <v>0</v>
      </c>
      <c r="G101" s="249">
        <f t="shared" si="80"/>
        <v>0</v>
      </c>
      <c r="H101" s="249">
        <f t="shared" si="80"/>
        <v>0</v>
      </c>
      <c r="I101" s="250">
        <f t="shared" si="80"/>
        <v>0</v>
      </c>
      <c r="J101" s="997">
        <f>(SUM(J67,J74)-SUM(I67,I74))</f>
        <v>54519.874246575338</v>
      </c>
      <c r="K101" s="997">
        <f t="shared" si="80"/>
        <v>34595.322303698609</v>
      </c>
      <c r="L101" s="997">
        <f t="shared" ref="L101:N101" si="81">(SUM(L67,L74)-SUM(K67,K74))</f>
        <v>29355.602642623155</v>
      </c>
      <c r="M101" s="997">
        <f t="shared" si="81"/>
        <v>25057.51406207023</v>
      </c>
      <c r="N101" s="965">
        <f t="shared" si="81"/>
        <v>30873.456284969929</v>
      </c>
    </row>
    <row r="102" spans="2:14" ht="11.25" customHeight="1" x14ac:dyDescent="0.2">
      <c r="C102" s="168" t="s">
        <v>833</v>
      </c>
      <c r="D102" s="1026" t="s">
        <v>669</v>
      </c>
      <c r="E102" s="1027"/>
      <c r="F102" s="1027">
        <f>(SUM(F76,F77,F78,F80)-SUM(E76,E77,E78,E80))</f>
        <v>0</v>
      </c>
      <c r="G102" s="1027">
        <f>(SUM(G76,G77,G78,G80)-SUM(F76,F77,F78,F80))</f>
        <v>0</v>
      </c>
      <c r="H102" s="1027">
        <f>(SUM(H76,H77,H78,H80)-SUM(G76,G77,G78,G80))</f>
        <v>0</v>
      </c>
      <c r="I102" s="1240">
        <f>(SUM(I76,I77,I78,I80)-SUM(H76,H77,H78,H80))</f>
        <v>0</v>
      </c>
      <c r="J102" s="1028">
        <f>(SUM(J76,J77,J78,J80)-SUM(I76,I77,I78,I80))</f>
        <v>70959.487500000003</v>
      </c>
      <c r="K102" s="1028">
        <f t="shared" ref="K102:N102" si="82">(SUM(K76,K77,K78,K80)-SUM(J76,J77,J78,J80))</f>
        <v>51792.231768749989</v>
      </c>
      <c r="L102" s="1028">
        <f t="shared" si="82"/>
        <v>42091.564537254337</v>
      </c>
      <c r="M102" s="1028">
        <f t="shared" si="82"/>
        <v>39496.450799918646</v>
      </c>
      <c r="N102" s="1029">
        <f t="shared" si="82"/>
        <v>48959.800411579054</v>
      </c>
    </row>
    <row r="103" spans="2:14" s="3" customFormat="1" ht="11.25" customHeight="1" x14ac:dyDescent="0.2">
      <c r="B103" s="290"/>
      <c r="C103" s="237"/>
      <c r="D103" s="237"/>
      <c r="E103" s="255"/>
      <c r="F103" s="255">
        <f>SUM(F95:F102)</f>
        <v>0</v>
      </c>
      <c r="G103" s="255">
        <f t="shared" ref="G103:I103" si="83">SUM(G95:G102)</f>
        <v>0</v>
      </c>
      <c r="H103" s="255">
        <f t="shared" si="83"/>
        <v>0</v>
      </c>
      <c r="I103" s="1241">
        <f t="shared" si="83"/>
        <v>0</v>
      </c>
      <c r="J103" s="966">
        <f>SUM(J95:J102)</f>
        <v>220438.6400833333</v>
      </c>
      <c r="K103" s="966">
        <f t="shared" ref="K103:M103" si="84">SUM(K95:K102)</f>
        <v>394288.84506950976</v>
      </c>
      <c r="L103" s="966">
        <f t="shared" si="84"/>
        <v>530129.00458267727</v>
      </c>
      <c r="M103" s="966">
        <f t="shared" si="84"/>
        <v>687517.9745222599</v>
      </c>
      <c r="N103" s="967">
        <f t="shared" ref="N103" si="85">SUM(N95:N102)</f>
        <v>891913.76721479511</v>
      </c>
    </row>
    <row r="104" spans="2:14" ht="11.25" customHeight="1" x14ac:dyDescent="0.2">
      <c r="C104" s="169" t="s">
        <v>834</v>
      </c>
      <c r="D104" s="169" t="s">
        <v>671</v>
      </c>
      <c r="E104" s="257"/>
      <c r="F104" s="257"/>
      <c r="G104" s="257"/>
      <c r="H104" s="257"/>
      <c r="I104" s="258"/>
      <c r="J104" s="998"/>
      <c r="K104" s="998"/>
      <c r="L104" s="998"/>
      <c r="M104" s="998"/>
      <c r="N104" s="925"/>
    </row>
    <row r="105" spans="2:14" ht="11.25" customHeight="1" x14ac:dyDescent="0.2">
      <c r="C105" s="168" t="s">
        <v>835</v>
      </c>
      <c r="D105" s="1026" t="s">
        <v>672</v>
      </c>
      <c r="E105" s="1027"/>
      <c r="F105" s="1027">
        <f>E55-F55+F38</f>
        <v>0</v>
      </c>
      <c r="G105" s="1027">
        <f t="shared" ref="G105:I105" si="86">F55-G55+G38</f>
        <v>0</v>
      </c>
      <c r="H105" s="1027">
        <f t="shared" si="86"/>
        <v>0</v>
      </c>
      <c r="I105" s="1240">
        <f t="shared" si="86"/>
        <v>-30000</v>
      </c>
      <c r="J105" s="1028">
        <f>I55-J55+J38</f>
        <v>-4999.9999999999991</v>
      </c>
      <c r="K105" s="1028">
        <f>J55-K55+K38</f>
        <v>-14999.999999999993</v>
      </c>
      <c r="L105" s="1028">
        <f>K55-L55+L38</f>
        <v>0</v>
      </c>
      <c r="M105" s="1028">
        <f>L55-M55+M38</f>
        <v>-9999.9999999999964</v>
      </c>
      <c r="N105" s="1029">
        <f>M55-N55+N38</f>
        <v>0</v>
      </c>
    </row>
    <row r="106" spans="2:14" s="3" customFormat="1" ht="11.25" customHeight="1" x14ac:dyDescent="0.2">
      <c r="B106" s="290"/>
      <c r="C106" s="238"/>
      <c r="D106" s="238"/>
      <c r="E106" s="259"/>
      <c r="F106" s="259">
        <f>F105</f>
        <v>0</v>
      </c>
      <c r="G106" s="259">
        <f t="shared" ref="G106:I106" si="87">G105</f>
        <v>0</v>
      </c>
      <c r="H106" s="259">
        <f t="shared" si="87"/>
        <v>0</v>
      </c>
      <c r="I106" s="1242">
        <f t="shared" si="87"/>
        <v>-30000</v>
      </c>
      <c r="J106" s="968">
        <f t="shared" ref="J106:M106" si="88">J105</f>
        <v>-4999.9999999999991</v>
      </c>
      <c r="K106" s="968">
        <f t="shared" si="88"/>
        <v>-14999.999999999993</v>
      </c>
      <c r="L106" s="968">
        <f>L105</f>
        <v>0</v>
      </c>
      <c r="M106" s="968">
        <f t="shared" si="88"/>
        <v>-9999.9999999999964</v>
      </c>
      <c r="N106" s="969">
        <f t="shared" ref="N106" si="89">N105</f>
        <v>0</v>
      </c>
    </row>
    <row r="107" spans="2:14" ht="11.25" customHeight="1" x14ac:dyDescent="0.2">
      <c r="C107" s="169" t="s">
        <v>836</v>
      </c>
      <c r="D107" s="169" t="s">
        <v>673</v>
      </c>
      <c r="E107" s="257"/>
      <c r="F107" s="257"/>
      <c r="G107" s="257"/>
      <c r="H107" s="257"/>
      <c r="I107" s="258"/>
      <c r="J107" s="998"/>
      <c r="K107" s="998"/>
      <c r="L107" s="998"/>
      <c r="M107" s="998"/>
      <c r="N107" s="925"/>
    </row>
    <row r="108" spans="2:14" ht="11.25" customHeight="1" x14ac:dyDescent="0.2">
      <c r="C108" s="167" t="s">
        <v>837</v>
      </c>
      <c r="D108" s="167" t="s">
        <v>674</v>
      </c>
      <c r="E108" s="249"/>
      <c r="F108" s="249">
        <f>(SUM(F68,F75)-SUM(E68,E75))</f>
        <v>0</v>
      </c>
      <c r="G108" s="249">
        <f t="shared" ref="G108:I108" si="90">(SUM(G68,G75)-SUM(F68,F75))</f>
        <v>0</v>
      </c>
      <c r="H108" s="249">
        <f t="shared" si="90"/>
        <v>0</v>
      </c>
      <c r="I108" s="250">
        <f t="shared" si="90"/>
        <v>0</v>
      </c>
      <c r="J108" s="997">
        <f>(SUM(J68,J75)-SUM(I68,I75))</f>
        <v>0</v>
      </c>
      <c r="K108" s="997">
        <f>(SUM(K68,K75)-SUM(J68,J75))</f>
        <v>0</v>
      </c>
      <c r="L108" s="997">
        <f t="shared" ref="L108:N108" si="91">(SUM(L68,L75)-SUM(K68,K75))</f>
        <v>0</v>
      </c>
      <c r="M108" s="997">
        <f t="shared" si="91"/>
        <v>0</v>
      </c>
      <c r="N108" s="965">
        <f t="shared" si="91"/>
        <v>0</v>
      </c>
    </row>
    <row r="109" spans="2:14" ht="11.25" customHeight="1" x14ac:dyDescent="0.2">
      <c r="C109" s="167" t="s">
        <v>838</v>
      </c>
      <c r="D109" s="167" t="s">
        <v>675</v>
      </c>
      <c r="E109" s="249"/>
      <c r="F109" s="249">
        <f>(SUM(F69,F70,F71)-SUM(E69,E70,E71))</f>
        <v>0</v>
      </c>
      <c r="G109" s="249">
        <f>(SUM(G69,G70,G71)-SUM(F69,F70,F71))</f>
        <v>0</v>
      </c>
      <c r="H109" s="249">
        <f>(SUM(H69,H70,H71)-SUM(G69,G70,G71))</f>
        <v>0</v>
      </c>
      <c r="I109" s="1358">
        <f>(SUM(I69,I70,I71)-SUM(H69,H70,H71))</f>
        <v>70000</v>
      </c>
      <c r="J109" s="997">
        <f>(SUM(J69,J70,J71)-SUM(I69,I70,I71))</f>
        <v>0</v>
      </c>
      <c r="K109" s="997">
        <f t="shared" ref="K109:N109" si="92">(SUM(K69,K70,K71)-SUM(J69,J70,J71))</f>
        <v>0</v>
      </c>
      <c r="L109" s="997">
        <f t="shared" si="92"/>
        <v>0</v>
      </c>
      <c r="M109" s="997">
        <f t="shared" si="92"/>
        <v>0</v>
      </c>
      <c r="N109" s="965">
        <f t="shared" si="92"/>
        <v>0</v>
      </c>
    </row>
    <row r="110" spans="2:14" ht="11.25" customHeight="1" x14ac:dyDescent="0.2">
      <c r="C110" s="167" t="s">
        <v>839</v>
      </c>
      <c r="D110" s="1026" t="s">
        <v>676</v>
      </c>
      <c r="E110" s="1027"/>
      <c r="F110" s="1027">
        <f>F87-E87-F86</f>
        <v>0</v>
      </c>
      <c r="G110" s="1027">
        <f>G87-F87-G86</f>
        <v>0</v>
      </c>
      <c r="H110" s="1027">
        <f>H87-G87-H86</f>
        <v>0</v>
      </c>
      <c r="I110" s="1359">
        <f>I87-H87-I86</f>
        <v>5000</v>
      </c>
      <c r="J110" s="1360">
        <f t="shared" ref="J110:L110" si="93">J87-I87-J86</f>
        <v>0</v>
      </c>
      <c r="K110" s="1361">
        <f t="shared" si="93"/>
        <v>0</v>
      </c>
      <c r="L110" s="1361">
        <f t="shared" si="93"/>
        <v>0</v>
      </c>
      <c r="M110" s="1362">
        <f t="shared" ref="M110:N110" si="94">M87-L87-M86</f>
        <v>0</v>
      </c>
      <c r="N110" s="1029">
        <f t="shared" si="94"/>
        <v>0</v>
      </c>
    </row>
    <row r="111" spans="2:14" s="3" customFormat="1" ht="11.25" customHeight="1" x14ac:dyDescent="0.2">
      <c r="B111" s="290"/>
      <c r="C111" s="239"/>
      <c r="D111" s="1030"/>
      <c r="E111" s="1031"/>
      <c r="F111" s="1031">
        <f>SUM(F108:F110)</f>
        <v>0</v>
      </c>
      <c r="G111" s="1031">
        <f t="shared" ref="G111:I111" si="95">SUM(G108:G110)</f>
        <v>0</v>
      </c>
      <c r="H111" s="1031">
        <f t="shared" si="95"/>
        <v>0</v>
      </c>
      <c r="I111" s="1243">
        <f t="shared" si="95"/>
        <v>75000</v>
      </c>
      <c r="J111" s="1357">
        <f t="shared" ref="J111:M111" si="96">SUM(J108:J110)</f>
        <v>0</v>
      </c>
      <c r="K111" s="1357">
        <f>SUM(K108:K110)</f>
        <v>0</v>
      </c>
      <c r="L111" s="1357">
        <f t="shared" si="96"/>
        <v>0</v>
      </c>
      <c r="M111" s="1357">
        <f t="shared" si="96"/>
        <v>0</v>
      </c>
      <c r="N111" s="1032">
        <f t="shared" ref="N111" si="97">SUM(N108:N110)</f>
        <v>0</v>
      </c>
    </row>
    <row r="112" spans="2:14" ht="11.25" customHeight="1" x14ac:dyDescent="0.2">
      <c r="C112" s="240" t="s">
        <v>840</v>
      </c>
      <c r="D112" s="237" t="s">
        <v>998</v>
      </c>
      <c r="E112" s="255"/>
      <c r="F112" s="255">
        <f t="shared" ref="F112:I112" si="98">F111+F105+F103</f>
        <v>0</v>
      </c>
      <c r="G112" s="255">
        <f t="shared" si="98"/>
        <v>0</v>
      </c>
      <c r="H112" s="255">
        <f t="shared" si="98"/>
        <v>0</v>
      </c>
      <c r="I112" s="1241">
        <f t="shared" si="98"/>
        <v>45000</v>
      </c>
      <c r="J112" s="966">
        <f>J111+J105+J103</f>
        <v>215438.6400833333</v>
      </c>
      <c r="K112" s="966">
        <f>K111+K105+K103</f>
        <v>379288.84506950976</v>
      </c>
      <c r="L112" s="966">
        <f t="shared" ref="L112:M112" si="99">L111+L105+L103</f>
        <v>530129.00458267727</v>
      </c>
      <c r="M112" s="966">
        <f t="shared" si="99"/>
        <v>677517.9745222599</v>
      </c>
      <c r="N112" s="967">
        <f t="shared" ref="N112" si="100">N111+N105+N103</f>
        <v>891913.76721479511</v>
      </c>
    </row>
    <row r="113" spans="2:14" ht="11.25" customHeight="1" x14ac:dyDescent="0.2">
      <c r="C113" s="167"/>
      <c r="D113" s="167"/>
      <c r="E113" s="249"/>
      <c r="F113" s="249"/>
      <c r="G113" s="249"/>
      <c r="H113" s="249"/>
      <c r="I113" s="250"/>
      <c r="J113" s="926"/>
      <c r="K113" s="926"/>
      <c r="L113" s="926"/>
      <c r="M113" s="926"/>
      <c r="N113" s="924"/>
    </row>
    <row r="114" spans="2:14" ht="11.25" customHeight="1" x14ac:dyDescent="0.2">
      <c r="C114" s="167" t="s">
        <v>841</v>
      </c>
      <c r="D114" s="167" t="s">
        <v>678</v>
      </c>
      <c r="E114" s="249"/>
      <c r="F114" s="249">
        <f t="shared" ref="F114:K114" si="101">E60</f>
        <v>0</v>
      </c>
      <c r="G114" s="249">
        <f t="shared" si="101"/>
        <v>0</v>
      </c>
      <c r="H114" s="249">
        <f t="shared" si="101"/>
        <v>0</v>
      </c>
      <c r="I114" s="250">
        <f t="shared" si="101"/>
        <v>0</v>
      </c>
      <c r="J114" s="997">
        <f t="shared" si="101"/>
        <v>45000</v>
      </c>
      <c r="K114" s="997">
        <f t="shared" si="101"/>
        <v>260438.6400833333</v>
      </c>
      <c r="L114" s="997">
        <f t="shared" ref="L114:N114" si="102">K60</f>
        <v>639727.48515284306</v>
      </c>
      <c r="M114" s="997">
        <f t="shared" si="102"/>
        <v>1169856.4897355204</v>
      </c>
      <c r="N114" s="965">
        <f t="shared" si="102"/>
        <v>1847374.4642577805</v>
      </c>
    </row>
    <row r="115" spans="2:14" ht="11.25" customHeight="1" thickBot="1" x14ac:dyDescent="0.25">
      <c r="C115" s="170" t="s">
        <v>842</v>
      </c>
      <c r="D115" s="170" t="s">
        <v>679</v>
      </c>
      <c r="E115" s="265"/>
      <c r="F115" s="265">
        <f>F114+F112</f>
        <v>0</v>
      </c>
      <c r="G115" s="265">
        <f t="shared" ref="G115" si="103">G114+G112</f>
        <v>0</v>
      </c>
      <c r="H115" s="265">
        <f>H114+H112</f>
        <v>0</v>
      </c>
      <c r="I115" s="266">
        <f>I114+I112</f>
        <v>45000</v>
      </c>
      <c r="J115" s="970">
        <f>J114+J112</f>
        <v>260438.6400833333</v>
      </c>
      <c r="K115" s="970">
        <f t="shared" ref="K115:M115" si="104">K114+K112</f>
        <v>639727.48515284306</v>
      </c>
      <c r="L115" s="970">
        <f>L114+L112</f>
        <v>1169856.4897355204</v>
      </c>
      <c r="M115" s="970">
        <f t="shared" si="104"/>
        <v>1847374.4642577805</v>
      </c>
      <c r="N115" s="971">
        <f t="shared" ref="N115" si="105">N114+N112</f>
        <v>2739288.2314725756</v>
      </c>
    </row>
    <row r="116" spans="2:14" x14ac:dyDescent="0.2">
      <c r="C116" s="86"/>
      <c r="D116" s="86"/>
      <c r="E116" s="86"/>
      <c r="F116" s="86"/>
      <c r="G116" s="86"/>
      <c r="H116" s="86"/>
      <c r="I116" s="86"/>
      <c r="J116" s="86"/>
      <c r="K116" s="86"/>
      <c r="L116" s="86"/>
      <c r="M116" s="86"/>
      <c r="N116" s="86"/>
    </row>
    <row r="117" spans="2:14" ht="11.25" customHeight="1" x14ac:dyDescent="0.2">
      <c r="B117" s="175"/>
      <c r="C117" s="86" t="s">
        <v>590</v>
      </c>
      <c r="D117" s="86"/>
      <c r="E117" s="457"/>
      <c r="F117" s="457">
        <f>F115-F60</f>
        <v>0</v>
      </c>
      <c r="G117" s="457">
        <f>G115-G60</f>
        <v>0</v>
      </c>
      <c r="H117" s="457">
        <f>H115-H60</f>
        <v>0</v>
      </c>
      <c r="I117" s="457">
        <f>I115-I60</f>
        <v>0</v>
      </c>
      <c r="J117" s="457">
        <f>J115-J60</f>
        <v>0</v>
      </c>
      <c r="K117" s="457">
        <f t="shared" ref="K117:N117" si="106">K115-K60</f>
        <v>0</v>
      </c>
      <c r="L117" s="457">
        <f t="shared" si="106"/>
        <v>0</v>
      </c>
      <c r="M117" s="457">
        <f t="shared" si="106"/>
        <v>0</v>
      </c>
      <c r="N117" s="457">
        <f t="shared" si="106"/>
        <v>0</v>
      </c>
    </row>
  </sheetData>
  <conditionalFormatting sqref="C46:N46">
    <cfRule type="expression" dxfId="25" priority="13">
      <formula>SUM($E$46:$I$46)=0</formula>
    </cfRule>
  </conditionalFormatting>
  <conditionalFormatting sqref="C90:N90">
    <cfRule type="expression" dxfId="24" priority="12">
      <formula>SUM($E$90:$I$90)=0</formula>
    </cfRule>
  </conditionalFormatting>
  <conditionalFormatting sqref="C117:N117">
    <cfRule type="expression" dxfId="23" priority="11">
      <formula>SUM($F$117:$I$117)=0</formula>
    </cfRule>
  </conditionalFormatting>
  <dataValidations count="2">
    <dataValidation type="list" allowBlank="1" showInputMessage="1" showErrorMessage="1" sqref="F4" xr:uid="{74248D7A-6881-49C3-A7D5-882021DCA3EF}">
      <formula1>" 1, 1000, 1000000"</formula1>
    </dataValidation>
    <dataValidation type="list" allowBlank="1" showInputMessage="1" showErrorMessage="1" sqref="K4" xr:uid="{AD11B837-81D3-4423-9A05-0C0E3F5891FE}">
      <formula1>$P$7:$P$8</formula1>
    </dataValidation>
  </dataValidations>
  <pageMargins left="0.7" right="0.7" top="0.75" bottom="0.75" header="0.3" footer="0.3"/>
  <pageSetup scale="95" orientation="portrait" horizontalDpi="4294967295" verticalDpi="4294967295" r:id="rId1"/>
  <headerFooter>
    <oddFooter>&amp;C&amp;7&amp;B&amp;"Arial"Document Classification: KPMG Confidential</oddFooter>
  </headerFooter>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E2"/>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v>
      </c>
      <c r="B2">
        <v>1</v>
      </c>
      <c r="C2">
        <v>14</v>
      </c>
      <c r="D2">
        <v>10</v>
      </c>
      <c r="E2" t="s">
        <v>614</v>
      </c>
    </row>
  </sheetData>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E2"/>
  <sheetViews>
    <sheetView workbookViewId="0"/>
  </sheetViews>
  <sheetFormatPr defaultRowHeight="12.75" x14ac:dyDescent="0.2"/>
  <sheetData>
    <row r="1" spans="1:5" x14ac:dyDescent="0.2">
      <c r="A1" s="44" t="s">
        <v>596</v>
      </c>
      <c r="B1" s="44" t="s">
        <v>597</v>
      </c>
      <c r="C1" s="44" t="s">
        <v>598</v>
      </c>
      <c r="D1" s="44" t="s">
        <v>599</v>
      </c>
      <c r="E1" s="44" t="s">
        <v>600</v>
      </c>
    </row>
    <row r="2" spans="1:5" x14ac:dyDescent="0.2">
      <c r="A2">
        <v>1</v>
      </c>
      <c r="B2">
        <v>1</v>
      </c>
      <c r="C2">
        <v>25</v>
      </c>
      <c r="D2">
        <v>8</v>
      </c>
      <c r="E2" t="s">
        <v>615</v>
      </c>
    </row>
  </sheetData>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1"/>
  <sheetViews>
    <sheetView workbookViewId="0"/>
  </sheetViews>
  <sheetFormatPr defaultRowHeight="12.75" x14ac:dyDescent="0.2"/>
  <sheetData>
    <row r="1" spans="1:5" x14ac:dyDescent="0.2">
      <c r="A1" s="44" t="s">
        <v>596</v>
      </c>
      <c r="B1" s="44" t="s">
        <v>597</v>
      </c>
      <c r="C1" s="44" t="s">
        <v>598</v>
      </c>
      <c r="D1" s="44" t="s">
        <v>599</v>
      </c>
      <c r="E1" s="44" t="s">
        <v>600</v>
      </c>
    </row>
  </sheetData>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2286-29E0-4975-93BE-D162EAAC5C0D}">
  <sheetPr>
    <tabColor rgb="FF00587A"/>
  </sheetPr>
  <dimension ref="A1:L21"/>
  <sheetViews>
    <sheetView showGridLines="0" workbookViewId="0">
      <selection activeCell="N14" sqref="N14"/>
    </sheetView>
  </sheetViews>
  <sheetFormatPr defaultColWidth="8.85546875" defaultRowHeight="11.25" x14ac:dyDescent="0.2"/>
  <cols>
    <col min="1" max="1" width="8.85546875" style="934"/>
    <col min="2" max="2" width="53.28515625" style="934" customWidth="1"/>
    <col min="3" max="16384" width="8.85546875" style="934"/>
  </cols>
  <sheetData>
    <row r="1" spans="1:12" x14ac:dyDescent="0.2">
      <c r="A1" s="1309"/>
      <c r="B1" s="1309"/>
      <c r="C1" s="1309"/>
      <c r="D1" s="1309"/>
      <c r="E1" s="1309"/>
      <c r="F1" s="1309"/>
      <c r="G1" s="1309"/>
      <c r="H1" s="1309"/>
      <c r="I1" s="1309"/>
      <c r="J1" s="1309"/>
      <c r="K1" s="1309"/>
      <c r="L1" s="1309"/>
    </row>
    <row r="2" spans="1:12" x14ac:dyDescent="0.2">
      <c r="A2" s="1309"/>
      <c r="B2" s="1309"/>
      <c r="C2" s="1309"/>
      <c r="D2" s="1309"/>
      <c r="E2" s="1309"/>
      <c r="F2" s="1309"/>
      <c r="G2" s="1309"/>
      <c r="H2" s="1309"/>
      <c r="I2" s="1309"/>
      <c r="J2" s="1309"/>
      <c r="K2" s="1309"/>
      <c r="L2" s="1309"/>
    </row>
    <row r="3" spans="1:12" ht="12.75" x14ac:dyDescent="0.2">
      <c r="A3" s="1309"/>
      <c r="B3" s="1310" t="s">
        <v>1559</v>
      </c>
      <c r="C3" s="1310"/>
      <c r="D3" s="1309"/>
      <c r="E3" s="1309"/>
      <c r="F3" s="1309"/>
      <c r="G3" s="1309"/>
      <c r="H3" s="1309"/>
      <c r="I3" s="1311"/>
      <c r="J3" s="1311"/>
      <c r="K3" s="1311"/>
      <c r="L3" s="1311"/>
    </row>
    <row r="6" spans="1:12" ht="25.15" customHeight="1" x14ac:dyDescent="0.2">
      <c r="B6" s="1630" t="s">
        <v>1560</v>
      </c>
    </row>
    <row r="7" spans="1:12" ht="25.15" customHeight="1" x14ac:dyDescent="0.2">
      <c r="B7" s="1630" t="s">
        <v>1561</v>
      </c>
    </row>
    <row r="8" spans="1:12" ht="25.15" customHeight="1" x14ac:dyDescent="0.2">
      <c r="B8" s="1630" t="s">
        <v>1562</v>
      </c>
    </row>
    <row r="9" spans="1:12" ht="25.15" customHeight="1" x14ac:dyDescent="0.2">
      <c r="B9" s="1630" t="s">
        <v>1563</v>
      </c>
    </row>
    <row r="10" spans="1:12" ht="25.15" customHeight="1" x14ac:dyDescent="0.2">
      <c r="B10" s="1630" t="s">
        <v>1564</v>
      </c>
    </row>
    <row r="11" spans="1:12" ht="25.15" customHeight="1" x14ac:dyDescent="0.2">
      <c r="B11" s="1630" t="s">
        <v>1565</v>
      </c>
    </row>
    <row r="12" spans="1:12" ht="25.15" customHeight="1" x14ac:dyDescent="0.2">
      <c r="B12" s="1630" t="s">
        <v>1566</v>
      </c>
    </row>
    <row r="13" spans="1:12" ht="15" customHeight="1" x14ac:dyDescent="0.2">
      <c r="B13" s="1631"/>
    </row>
    <row r="14" spans="1:12" ht="15" customHeight="1" x14ac:dyDescent="0.2">
      <c r="B14" s="1631"/>
    </row>
    <row r="15" spans="1:12" ht="15" customHeight="1" x14ac:dyDescent="0.2">
      <c r="B15" s="1631"/>
    </row>
    <row r="16" spans="1:12" ht="15" customHeight="1" x14ac:dyDescent="0.2">
      <c r="B16" s="1631"/>
    </row>
    <row r="17" spans="2:2" ht="15" customHeight="1" x14ac:dyDescent="0.2">
      <c r="B17" s="1631"/>
    </row>
    <row r="18" spans="2:2" ht="15" customHeight="1" x14ac:dyDescent="0.2"/>
    <row r="19" spans="2:2" ht="15" customHeight="1" x14ac:dyDescent="0.2"/>
    <row r="20" spans="2:2" ht="15" customHeight="1" x14ac:dyDescent="0.2"/>
    <row r="21" spans="2:2" ht="15" customHeight="1" x14ac:dyDescent="0.2"/>
  </sheetData>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BCD769-9E2C-4631-8DE6-A1DE8077376E}">
  <sheetPr>
    <tabColor rgb="FF00587A"/>
  </sheetPr>
  <dimension ref="A1:Q40"/>
  <sheetViews>
    <sheetView showGridLines="0" topLeftCell="A13" workbookViewId="0">
      <selection activeCell="K54" sqref="K54"/>
    </sheetView>
  </sheetViews>
  <sheetFormatPr defaultColWidth="8.85546875" defaultRowHeight="11.25" x14ac:dyDescent="0.2"/>
  <cols>
    <col min="1" max="1" width="8.85546875" style="934"/>
    <col min="2" max="2" width="22.85546875" style="934" customWidth="1"/>
    <col min="3" max="15" width="8.85546875" style="934"/>
    <col min="16" max="16" width="13" style="934" bestFit="1" customWidth="1"/>
    <col min="17" max="16384" width="8.85546875" style="934"/>
  </cols>
  <sheetData>
    <row r="1" spans="1:17" x14ac:dyDescent="0.2">
      <c r="A1" s="1309"/>
      <c r="B1" s="1309"/>
      <c r="C1" s="1309"/>
      <c r="D1" s="1309"/>
      <c r="E1" s="1309"/>
      <c r="F1" s="1309"/>
      <c r="G1" s="1309"/>
      <c r="H1" s="1309"/>
      <c r="I1" s="1309"/>
      <c r="J1" s="1309"/>
      <c r="K1" s="1309"/>
      <c r="L1" s="1309"/>
      <c r="M1" s="1309"/>
      <c r="N1" s="1309"/>
      <c r="O1" s="1309"/>
      <c r="P1" s="1309"/>
      <c r="Q1" s="1309"/>
    </row>
    <row r="2" spans="1:17" x14ac:dyDescent="0.2">
      <c r="A2" s="1309"/>
      <c r="B2" s="1309"/>
      <c r="C2" s="1309"/>
      <c r="D2" s="1309"/>
      <c r="E2" s="1309"/>
      <c r="F2" s="1309"/>
      <c r="G2" s="1309"/>
      <c r="H2" s="1309"/>
      <c r="I2" s="1309"/>
      <c r="J2" s="1309"/>
      <c r="K2" s="1309"/>
      <c r="L2" s="1309"/>
      <c r="M2" s="1309"/>
      <c r="N2" s="1309"/>
      <c r="O2" s="1309"/>
      <c r="P2" s="1309"/>
      <c r="Q2" s="1309"/>
    </row>
    <row r="3" spans="1:17" ht="12.75" x14ac:dyDescent="0.2">
      <c r="A3" s="1309"/>
      <c r="B3" s="1310" t="s">
        <v>1616</v>
      </c>
      <c r="C3" s="1310"/>
      <c r="D3" s="1309"/>
      <c r="E3" s="1309"/>
      <c r="F3" s="1309"/>
      <c r="G3" s="1309"/>
      <c r="H3" s="1309"/>
      <c r="I3" s="1309"/>
      <c r="J3" s="1309"/>
      <c r="K3" s="1309"/>
      <c r="L3" s="1309"/>
      <c r="M3" s="1309"/>
      <c r="N3" s="1309"/>
      <c r="O3" s="1309"/>
      <c r="P3" s="1309"/>
      <c r="Q3" s="1309"/>
    </row>
    <row r="5" spans="1:17" x14ac:dyDescent="0.2">
      <c r="B5" s="487" t="s">
        <v>1615</v>
      </c>
      <c r="C5" s="487">
        <v>2017</v>
      </c>
      <c r="D5" s="487">
        <f>C5+1</f>
        <v>2018</v>
      </c>
      <c r="E5" s="487">
        <f t="shared" ref="E5:L5" si="0">D5+1</f>
        <v>2019</v>
      </c>
      <c r="F5" s="487">
        <f t="shared" si="0"/>
        <v>2020</v>
      </c>
      <c r="G5" s="487">
        <f t="shared" si="0"/>
        <v>2021</v>
      </c>
      <c r="H5" s="487">
        <f t="shared" si="0"/>
        <v>2022</v>
      </c>
      <c r="I5" s="487">
        <f t="shared" si="0"/>
        <v>2023</v>
      </c>
      <c r="J5" s="487">
        <f t="shared" si="0"/>
        <v>2024</v>
      </c>
      <c r="K5" s="487">
        <f t="shared" si="0"/>
        <v>2025</v>
      </c>
      <c r="L5" s="487">
        <f t="shared" si="0"/>
        <v>2026</v>
      </c>
      <c r="M5" s="487">
        <f t="shared" ref="M5:O5" si="1">L5+1</f>
        <v>2027</v>
      </c>
      <c r="N5" s="487">
        <f t="shared" si="1"/>
        <v>2028</v>
      </c>
      <c r="O5" s="487">
        <f t="shared" si="1"/>
        <v>2029</v>
      </c>
      <c r="P5" s="487" t="s">
        <v>861</v>
      </c>
      <c r="Q5" s="487"/>
    </row>
    <row r="6" spans="1:17" x14ac:dyDescent="0.2">
      <c r="B6" s="934" t="s">
        <v>1617</v>
      </c>
      <c r="C6" s="934">
        <v>3.78</v>
      </c>
      <c r="D6" s="934">
        <v>4.43</v>
      </c>
      <c r="E6" s="934">
        <v>4.82</v>
      </c>
      <c r="F6" s="934">
        <v>6.25</v>
      </c>
      <c r="G6" s="934">
        <v>7.67</v>
      </c>
      <c r="H6" s="934">
        <v>8.9</v>
      </c>
      <c r="I6" s="934">
        <v>10.48</v>
      </c>
      <c r="J6" s="934">
        <v>11.82</v>
      </c>
      <c r="K6" s="934">
        <v>13.05</v>
      </c>
      <c r="L6" s="934">
        <v>14.22</v>
      </c>
      <c r="M6" s="934">
        <v>15.32</v>
      </c>
      <c r="N6" s="934">
        <v>16.420000000000002</v>
      </c>
      <c r="O6" s="934">
        <v>17.52</v>
      </c>
      <c r="P6" s="915">
        <f>(J6/C6)^(1/(J$5-C$5))-1</f>
        <v>0.1768801546130776</v>
      </c>
      <c r="Q6" s="934" t="s">
        <v>1567</v>
      </c>
    </row>
    <row r="7" spans="1:17" x14ac:dyDescent="0.2">
      <c r="A7" s="934">
        <v>0.93</v>
      </c>
      <c r="B7" s="934" t="s">
        <v>1618</v>
      </c>
      <c r="C7" s="1632">
        <f>$A$7*C6</f>
        <v>3.5154000000000001</v>
      </c>
      <c r="D7" s="1632">
        <f t="shared" ref="D7:O7" si="2">$A$7*D6</f>
        <v>4.1199000000000003</v>
      </c>
      <c r="E7" s="1632">
        <f t="shared" si="2"/>
        <v>4.4826000000000006</v>
      </c>
      <c r="F7" s="1632">
        <f t="shared" si="2"/>
        <v>5.8125</v>
      </c>
      <c r="G7" s="1632">
        <f t="shared" si="2"/>
        <v>7.1331000000000007</v>
      </c>
      <c r="H7" s="1632">
        <f t="shared" si="2"/>
        <v>8.277000000000001</v>
      </c>
      <c r="I7" s="1632">
        <f t="shared" si="2"/>
        <v>9.7464000000000013</v>
      </c>
      <c r="J7" s="1632">
        <f t="shared" si="2"/>
        <v>10.992600000000001</v>
      </c>
      <c r="K7" s="1632">
        <f t="shared" si="2"/>
        <v>12.136500000000002</v>
      </c>
      <c r="L7" s="1632">
        <f t="shared" si="2"/>
        <v>13.224600000000001</v>
      </c>
      <c r="M7" s="1632">
        <f t="shared" si="2"/>
        <v>14.2476</v>
      </c>
      <c r="N7" s="1632">
        <f t="shared" si="2"/>
        <v>15.270600000000002</v>
      </c>
      <c r="O7" s="1632">
        <f t="shared" si="2"/>
        <v>16.293600000000001</v>
      </c>
      <c r="P7" s="915">
        <f>(O7/C7)^(1/(O$5-C$5))-1</f>
        <v>0.13632752119494151</v>
      </c>
      <c r="Q7" s="934" t="s">
        <v>1568</v>
      </c>
    </row>
    <row r="8" spans="1:17" x14ac:dyDescent="0.2">
      <c r="P8" s="915">
        <f>(O6/J6)^(1/(O$5-J$5))-1</f>
        <v>8.1890544229552997E-2</v>
      </c>
      <c r="Q8" s="934" t="s">
        <v>1569</v>
      </c>
    </row>
    <row r="10" spans="1:17" x14ac:dyDescent="0.2">
      <c r="B10" s="487" t="s">
        <v>1619</v>
      </c>
      <c r="C10" s="487">
        <v>2017</v>
      </c>
      <c r="D10" s="487">
        <f>C10+1</f>
        <v>2018</v>
      </c>
      <c r="E10" s="487">
        <f t="shared" ref="E10:O10" si="3">D10+1</f>
        <v>2019</v>
      </c>
      <c r="F10" s="487">
        <f t="shared" si="3"/>
        <v>2020</v>
      </c>
      <c r="G10" s="487">
        <f t="shared" si="3"/>
        <v>2021</v>
      </c>
      <c r="H10" s="487">
        <f t="shared" si="3"/>
        <v>2022</v>
      </c>
      <c r="I10" s="487">
        <f t="shared" si="3"/>
        <v>2023</v>
      </c>
      <c r="J10" s="487">
        <f t="shared" si="3"/>
        <v>2024</v>
      </c>
      <c r="K10" s="487">
        <f t="shared" si="3"/>
        <v>2025</v>
      </c>
      <c r="L10" s="487">
        <f t="shared" si="3"/>
        <v>2026</v>
      </c>
      <c r="M10" s="487">
        <f t="shared" si="3"/>
        <v>2027</v>
      </c>
      <c r="N10" s="487">
        <f t="shared" si="3"/>
        <v>2028</v>
      </c>
      <c r="O10" s="487">
        <f t="shared" si="3"/>
        <v>2029</v>
      </c>
    </row>
    <row r="11" spans="1:17" x14ac:dyDescent="0.2">
      <c r="B11" s="934" t="s">
        <v>1620</v>
      </c>
      <c r="C11" s="741">
        <v>2740</v>
      </c>
      <c r="D11" s="741">
        <v>2950</v>
      </c>
      <c r="E11" s="741">
        <v>2920</v>
      </c>
      <c r="F11" s="741">
        <v>3050</v>
      </c>
      <c r="G11" s="741">
        <v>3250</v>
      </c>
      <c r="H11" s="741">
        <v>3340</v>
      </c>
      <c r="I11" s="741">
        <v>3420</v>
      </c>
      <c r="J11" s="741">
        <v>3480</v>
      </c>
      <c r="K11" s="741">
        <v>3530</v>
      </c>
      <c r="L11" s="741">
        <v>3560</v>
      </c>
      <c r="M11" s="741">
        <v>3580</v>
      </c>
      <c r="N11" s="741">
        <v>3600</v>
      </c>
      <c r="O11" s="741">
        <v>3620</v>
      </c>
      <c r="P11" s="915">
        <f>(I11/C11)^(1/(I$5-C$5))-1</f>
        <v>3.7638133634118942E-2</v>
      </c>
    </row>
    <row r="12" spans="1:17" x14ac:dyDescent="0.2">
      <c r="B12" s="934" t="s">
        <v>1621</v>
      </c>
      <c r="C12" s="741">
        <f>C11*$A$7</f>
        <v>2548.2000000000003</v>
      </c>
      <c r="D12" s="741">
        <f t="shared" ref="D12:O12" si="4">D11*$A$7</f>
        <v>2743.5</v>
      </c>
      <c r="E12" s="741">
        <f t="shared" si="4"/>
        <v>2715.6000000000004</v>
      </c>
      <c r="F12" s="741">
        <f t="shared" si="4"/>
        <v>2836.5</v>
      </c>
      <c r="G12" s="741">
        <f t="shared" si="4"/>
        <v>3022.5</v>
      </c>
      <c r="H12" s="741">
        <f t="shared" si="4"/>
        <v>3106.2000000000003</v>
      </c>
      <c r="I12" s="741">
        <f t="shared" si="4"/>
        <v>3180.6000000000004</v>
      </c>
      <c r="J12" s="741">
        <f t="shared" si="4"/>
        <v>3236.4</v>
      </c>
      <c r="K12" s="741">
        <f t="shared" si="4"/>
        <v>3282.9</v>
      </c>
      <c r="L12" s="741">
        <f t="shared" si="4"/>
        <v>3310.8</v>
      </c>
      <c r="M12" s="741">
        <f t="shared" si="4"/>
        <v>3329.4</v>
      </c>
      <c r="N12" s="741">
        <f t="shared" si="4"/>
        <v>3348</v>
      </c>
      <c r="O12" s="741">
        <f t="shared" si="4"/>
        <v>3366.6000000000004</v>
      </c>
      <c r="P12" s="915">
        <f>(O12/J12)^(1/(O$5-J$5))-1</f>
        <v>7.9195413864474595E-3</v>
      </c>
    </row>
    <row r="13" spans="1:17" x14ac:dyDescent="0.2">
      <c r="J13" s="741">
        <f>AVERAGE(J12:O12)</f>
        <v>3312.35</v>
      </c>
    </row>
    <row r="39" spans="2:2" x14ac:dyDescent="0.2">
      <c r="B39" s="1633" t="s">
        <v>1570</v>
      </c>
    </row>
    <row r="40" spans="2:2" x14ac:dyDescent="0.2">
      <c r="B40" s="1633" t="s">
        <v>1571</v>
      </c>
    </row>
  </sheetData>
  <hyperlinks>
    <hyperlink ref="B39" r:id="rId1" location="revenue" xr:uid="{9E0465AC-2C5C-4F4C-A477-7CDE626FC520}"/>
    <hyperlink ref="B40" r:id="rId2" xr:uid="{C9EA0111-12ED-4681-8229-932A2D08D8DD}"/>
  </hyperlinks>
  <pageMargins left="0.7" right="0.7" top="0.75" bottom="0.75" header="0.3" footer="0.3"/>
  <drawing r:id="rId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2" tint="-0.499984740745262"/>
  </sheetPr>
  <dimension ref="A1:J91"/>
  <sheetViews>
    <sheetView showGridLines="0" topLeftCell="C1" zoomScaleNormal="100" workbookViewId="0">
      <selection activeCell="F4" sqref="F4"/>
    </sheetView>
  </sheetViews>
  <sheetFormatPr defaultColWidth="20" defaultRowHeight="12" outlineLevelCol="1" x14ac:dyDescent="0.2"/>
  <cols>
    <col min="1" max="1" width="10.28515625" style="22" customWidth="1" outlineLevel="1"/>
    <col min="2" max="2" width="10.28515625" style="23" customWidth="1" outlineLevel="1"/>
    <col min="3" max="3" width="10.28515625" style="22" customWidth="1"/>
    <col min="4" max="4" width="59.42578125" style="22" bestFit="1" customWidth="1"/>
    <col min="5" max="5" width="12" style="22" customWidth="1"/>
    <col min="6" max="10" width="24" style="22" customWidth="1"/>
    <col min="11" max="16384" width="20" style="22"/>
  </cols>
  <sheetData>
    <row r="1" spans="1:10" x14ac:dyDescent="0.2">
      <c r="C1" s="24" t="s">
        <v>857</v>
      </c>
      <c r="D1" s="25" t="s">
        <v>1199</v>
      </c>
      <c r="E1" s="26"/>
      <c r="F1" s="26"/>
      <c r="G1" s="26"/>
      <c r="H1" s="26"/>
      <c r="I1" s="26"/>
      <c r="J1" s="26"/>
    </row>
    <row r="2" spans="1:10" x14ac:dyDescent="0.2">
      <c r="A2" s="46" t="s">
        <v>18</v>
      </c>
      <c r="B2" s="46"/>
      <c r="C2" s="26" t="s">
        <v>159</v>
      </c>
      <c r="F2" s="27" t="str">
        <f>CONCATENATE("FY",RIGHT(F3,2))</f>
        <v>FY23</v>
      </c>
      <c r="G2" s="28"/>
      <c r="H2" s="28"/>
      <c r="I2" s="28"/>
      <c r="J2" s="28"/>
    </row>
    <row r="3" spans="1:10" x14ac:dyDescent="0.2">
      <c r="A3" s="188" t="s">
        <v>160</v>
      </c>
      <c r="B3" s="188" t="s">
        <v>42</v>
      </c>
      <c r="C3" s="188" t="s">
        <v>161</v>
      </c>
      <c r="D3" s="188" t="s">
        <v>162</v>
      </c>
      <c r="E3" s="188" t="s">
        <v>163</v>
      </c>
      <c r="F3" s="29">
        <v>2023</v>
      </c>
      <c r="G3" s="188" t="str">
        <f>CONCATENATE("FY",_xlfn.NUMBERVALUE(RIGHT(F2,2)-1))</f>
        <v>FY22</v>
      </c>
      <c r="H3" s="188" t="str">
        <f>CONCATENATE("FY",_xlfn.NUMBERVALUE(RIGHT(G3,2)-1))</f>
        <v>FY21</v>
      </c>
      <c r="I3" s="188" t="str">
        <f>CONCATENATE("FY",_xlfn.NUMBERVALUE(RIGHT(H3,2)-1))</f>
        <v>FY20</v>
      </c>
      <c r="J3" s="188" t="str">
        <f>CONCATENATE("FY",_xlfn.NUMBERVALUE(RIGHT(I3,2)-1))</f>
        <v>FY19</v>
      </c>
    </row>
    <row r="4" spans="1:10" ht="15" x14ac:dyDescent="0.25">
      <c r="A4" s="30"/>
      <c r="B4" s="31"/>
      <c r="C4" s="22" t="s">
        <v>159</v>
      </c>
      <c r="D4" s="22" t="s">
        <v>164</v>
      </c>
      <c r="E4" s="22" t="s">
        <v>165</v>
      </c>
      <c r="F4" s="699"/>
      <c r="G4" s="699"/>
      <c r="H4" s="699"/>
      <c r="I4" s="699"/>
      <c r="J4" s="699"/>
    </row>
    <row r="5" spans="1:10" ht="15" x14ac:dyDescent="0.25">
      <c r="A5" s="30"/>
      <c r="B5" s="31"/>
      <c r="C5" s="22" t="s">
        <v>166</v>
      </c>
      <c r="D5" s="22" t="s">
        <v>167</v>
      </c>
      <c r="E5" s="22" t="s">
        <v>168</v>
      </c>
      <c r="F5" s="699"/>
      <c r="G5" s="699"/>
      <c r="H5" s="699"/>
      <c r="I5" s="699"/>
      <c r="J5" s="699"/>
    </row>
    <row r="6" spans="1:10" ht="15" x14ac:dyDescent="0.25">
      <c r="A6" s="30">
        <v>54</v>
      </c>
      <c r="B6" s="31"/>
      <c r="C6" s="22" t="s">
        <v>169</v>
      </c>
      <c r="D6" s="22" t="s">
        <v>170</v>
      </c>
      <c r="E6" s="22" t="s">
        <v>171</v>
      </c>
      <c r="F6" s="699"/>
      <c r="G6" s="699"/>
      <c r="H6" s="699"/>
      <c r="I6" s="699"/>
      <c r="J6" s="699"/>
    </row>
    <row r="7" spans="1:10" ht="15" x14ac:dyDescent="0.25">
      <c r="A7" s="30"/>
      <c r="B7" s="31">
        <v>54</v>
      </c>
      <c r="C7" s="22" t="s">
        <v>172</v>
      </c>
      <c r="D7" s="22" t="s">
        <v>173</v>
      </c>
      <c r="E7" s="22" t="s">
        <v>174</v>
      </c>
      <c r="F7" s="699"/>
      <c r="G7" s="699"/>
      <c r="H7" s="699"/>
      <c r="I7" s="699"/>
      <c r="J7" s="699"/>
    </row>
    <row r="8" spans="1:10" ht="15" x14ac:dyDescent="0.25">
      <c r="A8" s="30"/>
      <c r="B8" s="31">
        <v>54</v>
      </c>
      <c r="C8" s="22" t="s">
        <v>175</v>
      </c>
      <c r="D8" s="22" t="s">
        <v>107</v>
      </c>
      <c r="E8" s="22" t="s">
        <v>176</v>
      </c>
      <c r="F8" s="699"/>
      <c r="G8" s="699"/>
      <c r="H8" s="699"/>
      <c r="I8" s="699"/>
      <c r="J8" s="699"/>
    </row>
    <row r="9" spans="1:10" ht="15" x14ac:dyDescent="0.25">
      <c r="A9" s="30"/>
      <c r="B9" s="31">
        <v>55</v>
      </c>
      <c r="C9" s="22" t="s">
        <v>177</v>
      </c>
      <c r="D9" s="22" t="s">
        <v>109</v>
      </c>
      <c r="E9" s="22" t="s">
        <v>178</v>
      </c>
      <c r="F9" s="699"/>
      <c r="G9" s="699"/>
      <c r="H9" s="699"/>
      <c r="I9" s="699"/>
      <c r="J9" s="699"/>
    </row>
    <row r="10" spans="1:10" ht="15" x14ac:dyDescent="0.25">
      <c r="A10" s="30"/>
      <c r="B10" s="31">
        <v>56</v>
      </c>
      <c r="C10" s="22" t="s">
        <v>179</v>
      </c>
      <c r="D10" s="22" t="s">
        <v>110</v>
      </c>
      <c r="E10" s="22" t="s">
        <v>180</v>
      </c>
      <c r="F10" s="699"/>
      <c r="G10" s="699"/>
      <c r="H10" s="699"/>
      <c r="I10" s="699"/>
      <c r="J10" s="699"/>
    </row>
    <row r="11" spans="1:10" ht="15" x14ac:dyDescent="0.25">
      <c r="A11" s="30"/>
      <c r="B11" s="31">
        <v>53</v>
      </c>
      <c r="C11" s="22" t="s">
        <v>181</v>
      </c>
      <c r="D11" s="22" t="s">
        <v>182</v>
      </c>
      <c r="E11" s="22" t="s">
        <v>183</v>
      </c>
      <c r="F11" s="699"/>
      <c r="G11" s="699"/>
      <c r="H11" s="699"/>
      <c r="I11" s="699"/>
      <c r="J11" s="699"/>
    </row>
    <row r="12" spans="1:10" ht="15" x14ac:dyDescent="0.25">
      <c r="A12" s="30"/>
      <c r="B12" s="31">
        <v>53</v>
      </c>
      <c r="C12" s="22" t="s">
        <v>184</v>
      </c>
      <c r="D12" s="22" t="s">
        <v>185</v>
      </c>
      <c r="E12" s="22" t="s">
        <v>186</v>
      </c>
      <c r="F12" s="699"/>
      <c r="G12" s="699"/>
      <c r="H12" s="699"/>
      <c r="I12" s="699"/>
      <c r="J12" s="699"/>
    </row>
    <row r="13" spans="1:10" ht="15" x14ac:dyDescent="0.25">
      <c r="A13" s="30"/>
      <c r="B13" s="31">
        <v>59</v>
      </c>
      <c r="C13" s="22" t="s">
        <v>187</v>
      </c>
      <c r="D13" s="22" t="s">
        <v>188</v>
      </c>
      <c r="E13" s="22" t="s">
        <v>189</v>
      </c>
      <c r="F13" s="699"/>
      <c r="G13" s="699"/>
      <c r="H13" s="699"/>
      <c r="I13" s="699"/>
      <c r="J13" s="699"/>
    </row>
    <row r="14" spans="1:10" ht="15" x14ac:dyDescent="0.25">
      <c r="A14" s="30">
        <v>50</v>
      </c>
      <c r="B14" s="31"/>
      <c r="C14" s="22" t="s">
        <v>190</v>
      </c>
      <c r="D14" s="22" t="s">
        <v>191</v>
      </c>
      <c r="E14" s="22" t="s">
        <v>192</v>
      </c>
      <c r="F14" s="699"/>
      <c r="G14" s="699"/>
      <c r="H14" s="699"/>
      <c r="I14" s="699"/>
      <c r="J14" s="699"/>
    </row>
    <row r="15" spans="1:10" ht="15" x14ac:dyDescent="0.25">
      <c r="A15" s="30"/>
      <c r="B15" s="31">
        <v>50</v>
      </c>
      <c r="C15" s="22" t="s">
        <v>193</v>
      </c>
      <c r="D15" s="22" t="s">
        <v>96</v>
      </c>
      <c r="E15" s="22" t="s">
        <v>194</v>
      </c>
      <c r="F15" s="699"/>
      <c r="G15" s="699"/>
      <c r="H15" s="699"/>
      <c r="I15" s="699"/>
      <c r="J15" s="699"/>
    </row>
    <row r="16" spans="1:10" ht="15" x14ac:dyDescent="0.25">
      <c r="A16" s="30"/>
      <c r="B16" s="31">
        <v>51</v>
      </c>
      <c r="C16" s="22" t="s">
        <v>195</v>
      </c>
      <c r="D16" s="22" t="s">
        <v>98</v>
      </c>
      <c r="E16" s="22" t="s">
        <v>196</v>
      </c>
      <c r="F16" s="699"/>
      <c r="G16" s="699"/>
      <c r="H16" s="699"/>
      <c r="I16" s="699"/>
      <c r="J16" s="699"/>
    </row>
    <row r="17" spans="1:10" ht="15" x14ac:dyDescent="0.25">
      <c r="A17" s="30"/>
      <c r="B17" s="31">
        <v>52</v>
      </c>
      <c r="C17" s="22" t="s">
        <v>197</v>
      </c>
      <c r="D17" s="22" t="s">
        <v>100</v>
      </c>
      <c r="E17" s="22" t="s">
        <v>198</v>
      </c>
      <c r="F17" s="699"/>
      <c r="G17" s="699"/>
      <c r="H17" s="699"/>
      <c r="I17" s="699"/>
      <c r="J17" s="699"/>
    </row>
    <row r="18" spans="1:10" ht="15" x14ac:dyDescent="0.25">
      <c r="A18" s="30"/>
      <c r="B18" s="31">
        <v>53</v>
      </c>
      <c r="C18" s="22" t="s">
        <v>199</v>
      </c>
      <c r="D18" s="22" t="s">
        <v>200</v>
      </c>
      <c r="E18" s="22" t="s">
        <v>201</v>
      </c>
      <c r="F18" s="699"/>
      <c r="G18" s="699"/>
      <c r="H18" s="699"/>
      <c r="I18" s="699"/>
      <c r="J18" s="699"/>
    </row>
    <row r="19" spans="1:10" ht="15" x14ac:dyDescent="0.25">
      <c r="A19" s="30"/>
      <c r="B19" s="31">
        <v>53</v>
      </c>
      <c r="C19" s="22" t="s">
        <v>202</v>
      </c>
      <c r="D19" s="22" t="s">
        <v>203</v>
      </c>
      <c r="E19" s="22" t="s">
        <v>204</v>
      </c>
      <c r="F19" s="699"/>
      <c r="G19" s="699"/>
      <c r="H19" s="699"/>
      <c r="I19" s="699"/>
      <c r="J19" s="699"/>
    </row>
    <row r="20" spans="1:10" ht="15" x14ac:dyDescent="0.25">
      <c r="A20" s="30"/>
      <c r="B20" s="31">
        <v>53</v>
      </c>
      <c r="C20" s="22" t="s">
        <v>205</v>
      </c>
      <c r="D20" s="22" t="s">
        <v>206</v>
      </c>
      <c r="E20" s="22" t="s">
        <v>207</v>
      </c>
      <c r="F20" s="699"/>
      <c r="G20" s="699"/>
      <c r="H20" s="699"/>
      <c r="I20" s="699"/>
      <c r="J20" s="699"/>
    </row>
    <row r="21" spans="1:10" ht="15" x14ac:dyDescent="0.25">
      <c r="A21" s="30"/>
      <c r="B21" s="31">
        <v>53</v>
      </c>
      <c r="C21" s="22" t="s">
        <v>208</v>
      </c>
      <c r="D21" s="22" t="s">
        <v>209</v>
      </c>
      <c r="E21" s="22" t="s">
        <v>210</v>
      </c>
      <c r="F21" s="699"/>
      <c r="G21" s="699"/>
      <c r="H21" s="699"/>
      <c r="I21" s="699"/>
      <c r="J21" s="699"/>
    </row>
    <row r="22" spans="1:10" ht="15" x14ac:dyDescent="0.25">
      <c r="A22" s="30"/>
      <c r="B22" s="31">
        <v>59</v>
      </c>
      <c r="C22" s="22" t="s">
        <v>211</v>
      </c>
      <c r="D22" s="22" t="s">
        <v>212</v>
      </c>
      <c r="E22" s="22" t="s">
        <v>213</v>
      </c>
      <c r="F22" s="699"/>
      <c r="G22" s="699"/>
      <c r="H22" s="699"/>
      <c r="I22" s="699"/>
      <c r="J22" s="699"/>
    </row>
    <row r="23" spans="1:10" ht="15" x14ac:dyDescent="0.25">
      <c r="A23" s="30"/>
      <c r="B23" s="31">
        <v>53</v>
      </c>
      <c r="C23" s="22" t="s">
        <v>214</v>
      </c>
      <c r="D23" s="22" t="s">
        <v>215</v>
      </c>
      <c r="E23" s="22" t="s">
        <v>216</v>
      </c>
      <c r="F23" s="699"/>
      <c r="G23" s="699"/>
      <c r="H23" s="699"/>
      <c r="I23" s="699"/>
      <c r="J23" s="699"/>
    </row>
    <row r="24" spans="1:10" ht="15" x14ac:dyDescent="0.25">
      <c r="A24" s="30">
        <v>58</v>
      </c>
      <c r="B24" s="31"/>
      <c r="C24" s="22" t="s">
        <v>217</v>
      </c>
      <c r="D24" s="22" t="s">
        <v>218</v>
      </c>
      <c r="E24" s="22" t="s">
        <v>219</v>
      </c>
      <c r="F24" s="699"/>
      <c r="G24" s="699"/>
      <c r="H24" s="699"/>
      <c r="I24" s="699"/>
      <c r="J24" s="699"/>
    </row>
    <row r="25" spans="1:10" ht="15" x14ac:dyDescent="0.25">
      <c r="A25" s="30"/>
      <c r="B25" s="31">
        <v>58</v>
      </c>
      <c r="C25" s="22" t="s">
        <v>220</v>
      </c>
      <c r="D25" s="22" t="s">
        <v>221</v>
      </c>
      <c r="E25" s="22" t="s">
        <v>222</v>
      </c>
      <c r="F25" s="699"/>
      <c r="G25" s="699"/>
      <c r="H25" s="699"/>
      <c r="I25" s="699"/>
      <c r="J25" s="699"/>
    </row>
    <row r="26" spans="1:10" ht="15" x14ac:dyDescent="0.25">
      <c r="A26" s="30"/>
      <c r="B26" s="31">
        <v>58</v>
      </c>
      <c r="C26" s="22" t="s">
        <v>223</v>
      </c>
      <c r="D26" s="22" t="s">
        <v>224</v>
      </c>
      <c r="E26" s="22" t="s">
        <v>225</v>
      </c>
      <c r="F26" s="699"/>
      <c r="G26" s="699"/>
      <c r="H26" s="699"/>
      <c r="I26" s="699"/>
      <c r="J26" s="699"/>
    </row>
    <row r="27" spans="1:10" ht="15" x14ac:dyDescent="0.25">
      <c r="A27" s="30"/>
      <c r="B27" s="31">
        <v>58</v>
      </c>
      <c r="C27" s="22" t="s">
        <v>226</v>
      </c>
      <c r="D27" s="22" t="s">
        <v>227</v>
      </c>
      <c r="E27" s="22" t="s">
        <v>228</v>
      </c>
      <c r="F27" s="699"/>
      <c r="G27" s="699"/>
      <c r="H27" s="699"/>
      <c r="I27" s="699"/>
      <c r="J27" s="699"/>
    </row>
    <row r="28" spans="1:10" ht="15" x14ac:dyDescent="0.25">
      <c r="A28" s="30"/>
      <c r="B28" s="31">
        <v>58</v>
      </c>
      <c r="C28" s="22" t="s">
        <v>229</v>
      </c>
      <c r="D28" s="22" t="s">
        <v>230</v>
      </c>
      <c r="E28" s="22" t="s">
        <v>231</v>
      </c>
      <c r="F28" s="699"/>
      <c r="G28" s="699"/>
      <c r="H28" s="699"/>
      <c r="I28" s="699"/>
      <c r="J28" s="699"/>
    </row>
    <row r="29" spans="1:10" ht="15" x14ac:dyDescent="0.25">
      <c r="A29" s="30"/>
      <c r="B29" s="31">
        <v>58</v>
      </c>
      <c r="C29" s="22" t="s">
        <v>232</v>
      </c>
      <c r="D29" s="22" t="s">
        <v>233</v>
      </c>
      <c r="E29" s="22" t="s">
        <v>234</v>
      </c>
      <c r="F29" s="699"/>
      <c r="G29" s="699"/>
      <c r="H29" s="699"/>
      <c r="I29" s="699"/>
      <c r="J29" s="699"/>
    </row>
    <row r="30" spans="1:10" ht="15" x14ac:dyDescent="0.25">
      <c r="A30" s="30"/>
      <c r="B30" s="31">
        <v>58</v>
      </c>
      <c r="C30" s="22" t="s">
        <v>235</v>
      </c>
      <c r="D30" s="22" t="s">
        <v>236</v>
      </c>
      <c r="E30" s="22" t="s">
        <v>237</v>
      </c>
      <c r="F30" s="699"/>
      <c r="G30" s="699"/>
      <c r="H30" s="699"/>
      <c r="I30" s="699"/>
      <c r="J30" s="699"/>
    </row>
    <row r="31" spans="1:10" ht="15" x14ac:dyDescent="0.25">
      <c r="A31" s="30"/>
      <c r="B31" s="31">
        <v>58</v>
      </c>
      <c r="C31" s="22" t="s">
        <v>238</v>
      </c>
      <c r="D31" s="22" t="s">
        <v>239</v>
      </c>
      <c r="E31" s="22" t="s">
        <v>240</v>
      </c>
      <c r="F31" s="699"/>
      <c r="G31" s="699"/>
      <c r="H31" s="699"/>
      <c r="I31" s="699"/>
      <c r="J31" s="699"/>
    </row>
    <row r="32" spans="1:10" ht="15" x14ac:dyDescent="0.25">
      <c r="A32" s="30"/>
      <c r="B32" s="31">
        <v>58</v>
      </c>
      <c r="C32" s="22" t="s">
        <v>241</v>
      </c>
      <c r="D32" s="22" t="s">
        <v>242</v>
      </c>
      <c r="E32" s="22" t="s">
        <v>243</v>
      </c>
      <c r="F32" s="699"/>
      <c r="G32" s="699"/>
      <c r="H32" s="699"/>
      <c r="I32" s="699"/>
      <c r="J32" s="699"/>
    </row>
    <row r="33" spans="1:10" ht="15" x14ac:dyDescent="0.25">
      <c r="A33" s="30"/>
      <c r="B33" s="31"/>
      <c r="C33" s="22" t="s">
        <v>244</v>
      </c>
      <c r="D33" s="22" t="s">
        <v>245</v>
      </c>
      <c r="E33" s="22" t="s">
        <v>246</v>
      </c>
      <c r="F33" s="699"/>
      <c r="G33" s="699"/>
      <c r="H33" s="699"/>
      <c r="I33" s="699"/>
      <c r="J33" s="699"/>
    </row>
    <row r="34" spans="1:10" ht="15" x14ac:dyDescent="0.25">
      <c r="A34" s="30">
        <v>61</v>
      </c>
      <c r="B34" s="31">
        <v>61</v>
      </c>
      <c r="C34" s="22" t="s">
        <v>247</v>
      </c>
      <c r="D34" s="22" t="s">
        <v>248</v>
      </c>
      <c r="E34" s="22" t="s">
        <v>249</v>
      </c>
      <c r="F34" s="699"/>
      <c r="G34" s="699"/>
      <c r="H34" s="699"/>
      <c r="I34" s="699"/>
      <c r="J34" s="699"/>
    </row>
    <row r="35" spans="1:10" ht="15" x14ac:dyDescent="0.25">
      <c r="A35" s="30"/>
      <c r="B35" s="31"/>
      <c r="C35" s="22" t="s">
        <v>250</v>
      </c>
      <c r="D35" s="22" t="s">
        <v>251</v>
      </c>
      <c r="E35" s="22" t="s">
        <v>252</v>
      </c>
      <c r="F35" s="699"/>
      <c r="G35" s="699"/>
      <c r="H35" s="699"/>
      <c r="I35" s="699"/>
      <c r="J35" s="699"/>
    </row>
    <row r="36" spans="1:10" ht="15" x14ac:dyDescent="0.25">
      <c r="A36" s="30"/>
      <c r="B36" s="31"/>
      <c r="C36" s="22" t="s">
        <v>253</v>
      </c>
      <c r="D36" s="22" t="s">
        <v>254</v>
      </c>
      <c r="E36" s="22" t="s">
        <v>255</v>
      </c>
      <c r="F36" s="699"/>
      <c r="G36" s="699"/>
      <c r="H36" s="699"/>
      <c r="I36" s="699"/>
      <c r="J36" s="699"/>
    </row>
    <row r="37" spans="1:10" ht="15" x14ac:dyDescent="0.25">
      <c r="A37" s="30"/>
      <c r="B37" s="31"/>
      <c r="C37" s="22" t="s">
        <v>256</v>
      </c>
      <c r="D37" s="22" t="s">
        <v>257</v>
      </c>
      <c r="E37" s="22" t="s">
        <v>258</v>
      </c>
      <c r="F37" s="699"/>
      <c r="G37" s="699"/>
      <c r="H37" s="699"/>
      <c r="I37" s="699"/>
      <c r="J37" s="699"/>
    </row>
    <row r="38" spans="1:10" ht="15" x14ac:dyDescent="0.25">
      <c r="A38" s="30"/>
      <c r="B38" s="31"/>
      <c r="C38" s="22" t="s">
        <v>259</v>
      </c>
      <c r="D38" s="22" t="s">
        <v>260</v>
      </c>
      <c r="E38" s="22" t="s">
        <v>261</v>
      </c>
      <c r="F38" s="699"/>
      <c r="G38" s="699"/>
      <c r="H38" s="699"/>
      <c r="I38" s="699"/>
      <c r="J38" s="699"/>
    </row>
    <row r="39" spans="1:10" ht="15" x14ac:dyDescent="0.25">
      <c r="A39" s="30"/>
      <c r="B39" s="31"/>
      <c r="C39" s="22" t="s">
        <v>262</v>
      </c>
      <c r="D39" s="22" t="s">
        <v>263</v>
      </c>
      <c r="E39" s="22" t="s">
        <v>264</v>
      </c>
      <c r="F39" s="699"/>
      <c r="G39" s="699"/>
      <c r="H39" s="699"/>
      <c r="I39" s="699"/>
      <c r="J39" s="699"/>
    </row>
    <row r="40" spans="1:10" ht="15" x14ac:dyDescent="0.25">
      <c r="A40" s="30"/>
      <c r="B40" s="31"/>
      <c r="C40" s="22" t="s">
        <v>265</v>
      </c>
      <c r="D40" s="22" t="s">
        <v>266</v>
      </c>
      <c r="E40" s="22" t="s">
        <v>267</v>
      </c>
      <c r="F40" s="699"/>
      <c r="G40" s="699"/>
      <c r="H40" s="699"/>
      <c r="I40" s="699"/>
      <c r="J40" s="699"/>
    </row>
    <row r="41" spans="1:10" ht="15" x14ac:dyDescent="0.25">
      <c r="A41" s="30"/>
      <c r="B41" s="31"/>
      <c r="C41" s="22" t="s">
        <v>268</v>
      </c>
      <c r="D41" s="22" t="s">
        <v>269</v>
      </c>
      <c r="E41" s="22" t="s">
        <v>270</v>
      </c>
      <c r="F41" s="699"/>
      <c r="G41" s="699"/>
      <c r="H41" s="699"/>
      <c r="I41" s="699"/>
      <c r="J41" s="699"/>
    </row>
    <row r="42" spans="1:10" ht="15" x14ac:dyDescent="0.25">
      <c r="A42" s="30">
        <v>63</v>
      </c>
      <c r="B42" s="31">
        <v>63</v>
      </c>
      <c r="C42" s="22" t="s">
        <v>271</v>
      </c>
      <c r="D42" s="22" t="s">
        <v>272</v>
      </c>
      <c r="E42" s="22" t="s">
        <v>273</v>
      </c>
      <c r="F42" s="699"/>
      <c r="G42" s="699"/>
      <c r="H42" s="699"/>
      <c r="I42" s="699"/>
      <c r="J42" s="699"/>
    </row>
    <row r="43" spans="1:10" ht="15" x14ac:dyDescent="0.25">
      <c r="A43" s="30">
        <v>64</v>
      </c>
      <c r="B43" s="31">
        <v>63</v>
      </c>
      <c r="C43" s="22" t="s">
        <v>274</v>
      </c>
      <c r="D43" s="22" t="s">
        <v>275</v>
      </c>
      <c r="E43" s="22" t="s">
        <v>276</v>
      </c>
      <c r="F43" s="699"/>
      <c r="G43" s="699"/>
      <c r="H43" s="699"/>
      <c r="I43" s="699"/>
      <c r="J43" s="699"/>
    </row>
    <row r="44" spans="1:10" ht="15" x14ac:dyDescent="0.25">
      <c r="A44" s="30">
        <v>64</v>
      </c>
      <c r="B44" s="31">
        <v>64</v>
      </c>
      <c r="C44" s="22" t="s">
        <v>277</v>
      </c>
      <c r="D44" s="22" t="s">
        <v>278</v>
      </c>
      <c r="E44" s="22" t="s">
        <v>279</v>
      </c>
      <c r="F44" s="699"/>
      <c r="G44" s="699"/>
      <c r="H44" s="699"/>
      <c r="I44" s="699"/>
      <c r="J44" s="699"/>
    </row>
    <row r="45" spans="1:10" ht="15" x14ac:dyDescent="0.25">
      <c r="A45" s="30">
        <v>64</v>
      </c>
      <c r="B45" s="31">
        <v>64</v>
      </c>
      <c r="C45" s="22" t="s">
        <v>280</v>
      </c>
      <c r="D45" s="22" t="s">
        <v>281</v>
      </c>
      <c r="E45" s="22" t="s">
        <v>282</v>
      </c>
      <c r="F45" s="699"/>
      <c r="G45" s="699"/>
      <c r="H45" s="699"/>
      <c r="I45" s="699"/>
      <c r="J45" s="699"/>
    </row>
    <row r="46" spans="1:10" ht="15" x14ac:dyDescent="0.25">
      <c r="A46" s="30">
        <v>64</v>
      </c>
      <c r="B46" s="31">
        <v>64</v>
      </c>
      <c r="C46" s="22" t="s">
        <v>283</v>
      </c>
      <c r="D46" s="22" t="s">
        <v>284</v>
      </c>
      <c r="E46" s="22" t="s">
        <v>285</v>
      </c>
      <c r="F46" s="699"/>
      <c r="G46" s="699"/>
      <c r="H46" s="699"/>
      <c r="I46" s="699"/>
      <c r="J46" s="699"/>
    </row>
    <row r="47" spans="1:10" ht="15" x14ac:dyDescent="0.25">
      <c r="A47" s="30">
        <v>64</v>
      </c>
      <c r="B47" s="31">
        <v>65</v>
      </c>
      <c r="C47" s="22" t="s">
        <v>286</v>
      </c>
      <c r="D47" s="22" t="s">
        <v>287</v>
      </c>
      <c r="E47" s="22" t="s">
        <v>288</v>
      </c>
      <c r="F47" s="699"/>
      <c r="G47" s="699"/>
      <c r="H47" s="699"/>
      <c r="I47" s="699"/>
      <c r="J47" s="699"/>
    </row>
    <row r="48" spans="1:10" ht="15" x14ac:dyDescent="0.25">
      <c r="A48" s="30">
        <v>64</v>
      </c>
      <c r="B48" s="31">
        <v>60</v>
      </c>
      <c r="C48" s="22" t="s">
        <v>289</v>
      </c>
      <c r="D48" s="22" t="s">
        <v>290</v>
      </c>
      <c r="E48" s="22" t="s">
        <v>291</v>
      </c>
      <c r="F48" s="699"/>
      <c r="G48" s="699"/>
      <c r="H48" s="699"/>
      <c r="I48" s="699"/>
      <c r="J48" s="699"/>
    </row>
    <row r="49" spans="1:10" ht="15" x14ac:dyDescent="0.25">
      <c r="A49" s="30"/>
      <c r="B49" s="31"/>
      <c r="C49" s="22" t="s">
        <v>292</v>
      </c>
      <c r="D49" s="22" t="s">
        <v>293</v>
      </c>
      <c r="E49" s="22" t="s">
        <v>294</v>
      </c>
      <c r="F49" s="699"/>
      <c r="G49" s="699"/>
      <c r="H49" s="699"/>
      <c r="I49" s="699"/>
      <c r="J49" s="699"/>
    </row>
    <row r="50" spans="1:10" ht="15" x14ac:dyDescent="0.25">
      <c r="A50" s="30">
        <v>63</v>
      </c>
      <c r="B50" s="31">
        <v>63</v>
      </c>
      <c r="C50" s="22" t="s">
        <v>295</v>
      </c>
      <c r="D50" s="22" t="s">
        <v>272</v>
      </c>
      <c r="E50" s="22" t="s">
        <v>296</v>
      </c>
      <c r="F50" s="699"/>
      <c r="G50" s="699"/>
      <c r="H50" s="699"/>
      <c r="I50" s="699"/>
      <c r="J50" s="699"/>
    </row>
    <row r="51" spans="1:10" ht="15" x14ac:dyDescent="0.25">
      <c r="A51" s="30">
        <v>64</v>
      </c>
      <c r="B51" s="31">
        <v>63</v>
      </c>
      <c r="C51" s="22" t="s">
        <v>297</v>
      </c>
      <c r="D51" s="22" t="s">
        <v>275</v>
      </c>
      <c r="E51" s="22" t="s">
        <v>298</v>
      </c>
      <c r="F51" s="699"/>
      <c r="G51" s="699"/>
      <c r="H51" s="699"/>
      <c r="I51" s="699"/>
      <c r="J51" s="699"/>
    </row>
    <row r="52" spans="1:10" ht="15" x14ac:dyDescent="0.25">
      <c r="A52" s="30">
        <v>64</v>
      </c>
      <c r="B52" s="31">
        <v>64</v>
      </c>
      <c r="C52" s="22" t="s">
        <v>299</v>
      </c>
      <c r="D52" s="22" t="s">
        <v>300</v>
      </c>
      <c r="E52" s="22" t="s">
        <v>301</v>
      </c>
      <c r="F52" s="699"/>
      <c r="G52" s="699"/>
      <c r="H52" s="699"/>
      <c r="I52" s="699"/>
      <c r="J52" s="699"/>
    </row>
    <row r="53" spans="1:10" ht="15" x14ac:dyDescent="0.25">
      <c r="A53" s="30">
        <v>64</v>
      </c>
      <c r="B53" s="31">
        <v>64</v>
      </c>
      <c r="C53" s="22" t="s">
        <v>302</v>
      </c>
      <c r="D53" s="22" t="s">
        <v>281</v>
      </c>
      <c r="E53" s="22" t="s">
        <v>303</v>
      </c>
      <c r="F53" s="699"/>
      <c r="G53" s="699"/>
      <c r="H53" s="699"/>
      <c r="I53" s="699"/>
      <c r="J53" s="699"/>
    </row>
    <row r="54" spans="1:10" ht="15" x14ac:dyDescent="0.25">
      <c r="A54" s="30">
        <v>64</v>
      </c>
      <c r="B54" s="31">
        <v>64</v>
      </c>
      <c r="C54" s="22" t="s">
        <v>304</v>
      </c>
      <c r="D54" s="22" t="s">
        <v>284</v>
      </c>
      <c r="E54" s="22" t="s">
        <v>305</v>
      </c>
      <c r="F54" s="699"/>
      <c r="G54" s="699"/>
      <c r="H54" s="699"/>
      <c r="I54" s="699"/>
      <c r="J54" s="699"/>
    </row>
    <row r="55" spans="1:10" ht="15" x14ac:dyDescent="0.25">
      <c r="A55" s="30">
        <v>64</v>
      </c>
      <c r="B55" s="31">
        <v>65</v>
      </c>
      <c r="C55" s="22" t="s">
        <v>306</v>
      </c>
      <c r="D55" s="22" t="s">
        <v>307</v>
      </c>
      <c r="E55" s="22" t="s">
        <v>308</v>
      </c>
      <c r="F55" s="699"/>
      <c r="G55" s="699"/>
      <c r="H55" s="699"/>
      <c r="I55" s="699"/>
      <c r="J55" s="699"/>
    </row>
    <row r="56" spans="1:10" ht="15" x14ac:dyDescent="0.25">
      <c r="A56" s="30">
        <v>64</v>
      </c>
      <c r="B56" s="31">
        <v>65</v>
      </c>
      <c r="C56" s="22" t="s">
        <v>309</v>
      </c>
      <c r="D56" s="22" t="s">
        <v>310</v>
      </c>
      <c r="E56" s="22" t="s">
        <v>311</v>
      </c>
      <c r="F56" s="699"/>
      <c r="G56" s="699"/>
      <c r="H56" s="699"/>
      <c r="I56" s="699"/>
      <c r="J56" s="699"/>
    </row>
    <row r="57" spans="1:10" ht="15" x14ac:dyDescent="0.25">
      <c r="A57" s="30">
        <v>64</v>
      </c>
      <c r="B57" s="31">
        <v>65</v>
      </c>
      <c r="C57" s="22" t="s">
        <v>312</v>
      </c>
      <c r="D57" s="22" t="s">
        <v>287</v>
      </c>
      <c r="E57" s="22" t="s">
        <v>313</v>
      </c>
      <c r="F57" s="699"/>
      <c r="G57" s="699"/>
      <c r="H57" s="699"/>
      <c r="I57" s="699"/>
      <c r="J57" s="699"/>
    </row>
    <row r="58" spans="1:10" ht="15" x14ac:dyDescent="0.25">
      <c r="A58" s="30">
        <v>65</v>
      </c>
      <c r="B58" s="31"/>
      <c r="C58" s="22" t="s">
        <v>314</v>
      </c>
      <c r="D58" s="22" t="s">
        <v>315</v>
      </c>
      <c r="E58" s="22" t="s">
        <v>316</v>
      </c>
      <c r="F58" s="699"/>
      <c r="G58" s="699"/>
      <c r="H58" s="699"/>
      <c r="I58" s="699"/>
      <c r="J58" s="699"/>
    </row>
    <row r="59" spans="1:10" ht="15" x14ac:dyDescent="0.25">
      <c r="A59" s="30"/>
      <c r="B59" s="31">
        <v>66</v>
      </c>
      <c r="C59" s="22" t="s">
        <v>317</v>
      </c>
      <c r="D59" s="22" t="s">
        <v>318</v>
      </c>
      <c r="E59" s="22" t="s">
        <v>319</v>
      </c>
      <c r="F59" s="699"/>
      <c r="G59" s="699"/>
      <c r="H59" s="699"/>
      <c r="I59" s="699"/>
      <c r="J59" s="699"/>
    </row>
    <row r="60" spans="1:10" ht="15" x14ac:dyDescent="0.25">
      <c r="A60" s="30"/>
      <c r="B60" s="31">
        <v>66</v>
      </c>
      <c r="C60" s="22" t="s">
        <v>320</v>
      </c>
      <c r="D60" s="22" t="s">
        <v>321</v>
      </c>
      <c r="E60" s="22" t="s">
        <v>322</v>
      </c>
      <c r="F60" s="699"/>
      <c r="G60" s="699"/>
      <c r="H60" s="699"/>
      <c r="I60" s="699"/>
      <c r="J60" s="699"/>
    </row>
    <row r="61" spans="1:10" ht="15" x14ac:dyDescent="0.25">
      <c r="A61" s="30"/>
      <c r="B61" s="31">
        <v>66</v>
      </c>
      <c r="C61" s="22" t="s">
        <v>323</v>
      </c>
      <c r="D61" s="22" t="s">
        <v>324</v>
      </c>
      <c r="E61" s="22" t="s">
        <v>325</v>
      </c>
      <c r="F61" s="699"/>
      <c r="G61" s="699"/>
      <c r="H61" s="699"/>
      <c r="I61" s="699"/>
      <c r="J61" s="699"/>
    </row>
    <row r="62" spans="1:10" ht="15" x14ac:dyDescent="0.25">
      <c r="A62" s="30"/>
      <c r="B62" s="31">
        <v>70</v>
      </c>
      <c r="C62" s="22" t="s">
        <v>326</v>
      </c>
      <c r="D62" s="22" t="s">
        <v>78</v>
      </c>
      <c r="E62" s="22" t="s">
        <v>327</v>
      </c>
      <c r="F62" s="699"/>
      <c r="G62" s="699"/>
      <c r="H62" s="699"/>
      <c r="I62" s="699"/>
      <c r="J62" s="699"/>
    </row>
    <row r="63" spans="1:10" ht="15" x14ac:dyDescent="0.25">
      <c r="A63" s="30"/>
      <c r="B63" s="31">
        <v>70</v>
      </c>
      <c r="C63" s="22" t="s">
        <v>328</v>
      </c>
      <c r="D63" s="22" t="s">
        <v>329</v>
      </c>
      <c r="E63" s="22" t="s">
        <v>330</v>
      </c>
      <c r="F63" s="699"/>
      <c r="G63" s="699"/>
      <c r="H63" s="699"/>
      <c r="I63" s="699"/>
      <c r="J63" s="699"/>
    </row>
    <row r="64" spans="1:10" ht="15" x14ac:dyDescent="0.25">
      <c r="A64" s="30">
        <v>67</v>
      </c>
      <c r="B64" s="31"/>
      <c r="C64" s="22" t="s">
        <v>331</v>
      </c>
      <c r="D64" s="22" t="s">
        <v>332</v>
      </c>
      <c r="E64" s="22" t="s">
        <v>333</v>
      </c>
      <c r="F64" s="699"/>
      <c r="G64" s="699"/>
      <c r="H64" s="699"/>
      <c r="I64" s="699"/>
      <c r="J64" s="699"/>
    </row>
    <row r="65" spans="1:10" ht="15" x14ac:dyDescent="0.25">
      <c r="A65" s="30"/>
      <c r="B65" s="31">
        <v>69</v>
      </c>
      <c r="C65" s="22" t="s">
        <v>334</v>
      </c>
      <c r="D65" s="22" t="s">
        <v>335</v>
      </c>
      <c r="E65" s="22" t="s">
        <v>336</v>
      </c>
      <c r="F65" s="699"/>
      <c r="G65" s="699"/>
      <c r="H65" s="699"/>
      <c r="I65" s="699"/>
      <c r="J65" s="699"/>
    </row>
    <row r="66" spans="1:10" ht="15" x14ac:dyDescent="0.25">
      <c r="A66" s="30"/>
      <c r="B66" s="31">
        <v>69</v>
      </c>
      <c r="C66" s="22" t="s">
        <v>337</v>
      </c>
      <c r="D66" s="22" t="s">
        <v>338</v>
      </c>
      <c r="E66" s="22" t="s">
        <v>339</v>
      </c>
      <c r="F66" s="699"/>
      <c r="G66" s="699"/>
      <c r="H66" s="699"/>
      <c r="I66" s="699"/>
      <c r="J66" s="699"/>
    </row>
    <row r="67" spans="1:10" ht="15" x14ac:dyDescent="0.25">
      <c r="A67" s="30"/>
      <c r="B67" s="31">
        <v>69</v>
      </c>
      <c r="C67" s="22" t="s">
        <v>340</v>
      </c>
      <c r="D67" s="22" t="s">
        <v>341</v>
      </c>
      <c r="E67" s="22" t="s">
        <v>342</v>
      </c>
      <c r="F67" s="699"/>
      <c r="G67" s="699"/>
      <c r="H67" s="699"/>
      <c r="I67" s="699"/>
      <c r="J67" s="699"/>
    </row>
    <row r="68" spans="1:10" ht="15" x14ac:dyDescent="0.25">
      <c r="A68" s="30"/>
      <c r="B68" s="31">
        <v>69</v>
      </c>
      <c r="C68" s="22" t="s">
        <v>343</v>
      </c>
      <c r="D68" s="22" t="s">
        <v>344</v>
      </c>
      <c r="E68" s="22" t="s">
        <v>345</v>
      </c>
      <c r="F68" s="699"/>
      <c r="G68" s="699"/>
      <c r="H68" s="699"/>
      <c r="I68" s="699"/>
      <c r="J68" s="699"/>
    </row>
    <row r="70" spans="1:10" s="32" customFormat="1" x14ac:dyDescent="0.2">
      <c r="C70" s="33" t="s">
        <v>346</v>
      </c>
      <c r="D70" s="32" t="s">
        <v>164</v>
      </c>
      <c r="E70" s="32" t="s">
        <v>165</v>
      </c>
      <c r="F70" s="47">
        <f>F4</f>
        <v>0</v>
      </c>
      <c r="G70" s="47">
        <f t="shared" ref="G70:J70" si="0">G4</f>
        <v>0</v>
      </c>
      <c r="H70" s="47">
        <f t="shared" si="0"/>
        <v>0</v>
      </c>
      <c r="I70" s="47">
        <f t="shared" si="0"/>
        <v>0</v>
      </c>
      <c r="J70" s="47">
        <f t="shared" si="0"/>
        <v>0</v>
      </c>
    </row>
    <row r="71" spans="1:10" s="34" customFormat="1" x14ac:dyDescent="0.2">
      <c r="C71" s="35" t="s">
        <v>347</v>
      </c>
      <c r="F71" s="48">
        <f>SUM(F5,F33,F63)-F70</f>
        <v>0</v>
      </c>
      <c r="G71" s="48">
        <f t="shared" ref="G71:I71" si="1">SUM(G5,G33,G63)-G70</f>
        <v>0</v>
      </c>
      <c r="H71" s="48">
        <f t="shared" si="1"/>
        <v>0</v>
      </c>
      <c r="I71" s="48">
        <f t="shared" si="1"/>
        <v>0</v>
      </c>
      <c r="J71" s="48">
        <f>SUM(J5,J33,J63)-J4</f>
        <v>0</v>
      </c>
    </row>
    <row r="72" spans="1:10" s="32" customFormat="1" x14ac:dyDescent="0.2">
      <c r="C72" s="33" t="s">
        <v>346</v>
      </c>
      <c r="D72" s="32" t="s">
        <v>167</v>
      </c>
      <c r="E72" s="32" t="s">
        <v>168</v>
      </c>
      <c r="F72" s="47">
        <f>F5</f>
        <v>0</v>
      </c>
      <c r="G72" s="47">
        <f t="shared" ref="G72:J72" si="2">G5</f>
        <v>0</v>
      </c>
      <c r="H72" s="47">
        <f t="shared" si="2"/>
        <v>0</v>
      </c>
      <c r="I72" s="47">
        <f t="shared" si="2"/>
        <v>0</v>
      </c>
      <c r="J72" s="47">
        <f t="shared" si="2"/>
        <v>0</v>
      </c>
    </row>
    <row r="73" spans="1:10" s="34" customFormat="1" x14ac:dyDescent="0.2">
      <c r="C73" s="35" t="s">
        <v>347</v>
      </c>
      <c r="F73" s="48">
        <f>SUM(F6,F14,F24)-F72</f>
        <v>0</v>
      </c>
      <c r="G73" s="48">
        <f t="shared" ref="G73:J73" si="3">SUM(G6,G14,G24)-G72</f>
        <v>0</v>
      </c>
      <c r="H73" s="48">
        <f t="shared" si="3"/>
        <v>0</v>
      </c>
      <c r="I73" s="48">
        <f t="shared" si="3"/>
        <v>0</v>
      </c>
      <c r="J73" s="48">
        <f t="shared" si="3"/>
        <v>0</v>
      </c>
    </row>
    <row r="74" spans="1:10" s="32" customFormat="1" x14ac:dyDescent="0.2">
      <c r="C74" s="33" t="s">
        <v>346</v>
      </c>
      <c r="D74" s="32" t="s">
        <v>170</v>
      </c>
      <c r="E74" s="32" t="s">
        <v>171</v>
      </c>
      <c r="F74" s="47">
        <f>F6</f>
        <v>0</v>
      </c>
      <c r="G74" s="47">
        <f t="shared" ref="G74:J74" si="4">G6</f>
        <v>0</v>
      </c>
      <c r="H74" s="47">
        <f t="shared" si="4"/>
        <v>0</v>
      </c>
      <c r="I74" s="47">
        <f t="shared" si="4"/>
        <v>0</v>
      </c>
      <c r="J74" s="47">
        <f t="shared" si="4"/>
        <v>0</v>
      </c>
    </row>
    <row r="75" spans="1:10" s="34" customFormat="1" x14ac:dyDescent="0.2">
      <c r="C75" s="35" t="s">
        <v>347</v>
      </c>
      <c r="F75" s="48">
        <f>SUM(F7:F13)</f>
        <v>0</v>
      </c>
      <c r="G75" s="48">
        <f t="shared" ref="G75:J75" si="5">SUM(G7:G13)</f>
        <v>0</v>
      </c>
      <c r="H75" s="48">
        <f t="shared" si="5"/>
        <v>0</v>
      </c>
      <c r="I75" s="48">
        <f t="shared" si="5"/>
        <v>0</v>
      </c>
      <c r="J75" s="48">
        <f t="shared" si="5"/>
        <v>0</v>
      </c>
    </row>
    <row r="76" spans="1:10" s="32" customFormat="1" x14ac:dyDescent="0.2">
      <c r="C76" s="33" t="s">
        <v>346</v>
      </c>
      <c r="D76" s="32" t="s">
        <v>191</v>
      </c>
      <c r="E76" s="32" t="s">
        <v>192</v>
      </c>
      <c r="F76" s="47">
        <f>F14</f>
        <v>0</v>
      </c>
      <c r="G76" s="47">
        <f t="shared" ref="G76:J76" si="6">G14</f>
        <v>0</v>
      </c>
      <c r="H76" s="47">
        <f t="shared" si="6"/>
        <v>0</v>
      </c>
      <c r="I76" s="47">
        <f t="shared" si="6"/>
        <v>0</v>
      </c>
      <c r="J76" s="47">
        <f t="shared" si="6"/>
        <v>0</v>
      </c>
    </row>
    <row r="77" spans="1:10" s="34" customFormat="1" x14ac:dyDescent="0.2">
      <c r="C77" s="35" t="s">
        <v>347</v>
      </c>
      <c r="F77" s="48">
        <f>SUM(F15:F23)-F76</f>
        <v>0</v>
      </c>
      <c r="G77" s="48">
        <f t="shared" ref="G77:J77" si="7">SUM(G15:G23)-G76</f>
        <v>0</v>
      </c>
      <c r="H77" s="48">
        <f t="shared" si="7"/>
        <v>0</v>
      </c>
      <c r="I77" s="48">
        <f t="shared" si="7"/>
        <v>0</v>
      </c>
      <c r="J77" s="48">
        <f t="shared" si="7"/>
        <v>0</v>
      </c>
    </row>
    <row r="78" spans="1:10" s="32" customFormat="1" x14ac:dyDescent="0.2">
      <c r="C78" s="33" t="s">
        <v>346</v>
      </c>
      <c r="D78" s="32" t="s">
        <v>218</v>
      </c>
      <c r="E78" s="32" t="s">
        <v>219</v>
      </c>
      <c r="F78" s="47">
        <f>F24</f>
        <v>0</v>
      </c>
      <c r="G78" s="47">
        <f t="shared" ref="G78:J78" si="8">G24</f>
        <v>0</v>
      </c>
      <c r="H78" s="47">
        <f t="shared" si="8"/>
        <v>0</v>
      </c>
      <c r="I78" s="47">
        <f t="shared" si="8"/>
        <v>0</v>
      </c>
      <c r="J78" s="47">
        <f t="shared" si="8"/>
        <v>0</v>
      </c>
    </row>
    <row r="79" spans="1:10" s="34" customFormat="1" x14ac:dyDescent="0.2">
      <c r="C79" s="35" t="s">
        <v>347</v>
      </c>
      <c r="F79" s="48">
        <f>SUM(F25:F32)-F78</f>
        <v>0</v>
      </c>
      <c r="G79" s="48">
        <f t="shared" ref="G79:J79" si="9">SUM(G25:G32)-G78</f>
        <v>0</v>
      </c>
      <c r="H79" s="48">
        <f t="shared" si="9"/>
        <v>0</v>
      </c>
      <c r="I79" s="48">
        <f t="shared" si="9"/>
        <v>0</v>
      </c>
      <c r="J79" s="48">
        <f t="shared" si="9"/>
        <v>0</v>
      </c>
    </row>
    <row r="80" spans="1:10" s="32" customFormat="1" x14ac:dyDescent="0.2">
      <c r="C80" s="33" t="s">
        <v>346</v>
      </c>
      <c r="D80" s="32" t="s">
        <v>245</v>
      </c>
      <c r="E80" s="32" t="s">
        <v>246</v>
      </c>
      <c r="F80" s="47">
        <f>F33</f>
        <v>0</v>
      </c>
      <c r="G80" s="47">
        <f t="shared" ref="G80:J80" si="10">G33</f>
        <v>0</v>
      </c>
      <c r="H80" s="47">
        <f t="shared" si="10"/>
        <v>0</v>
      </c>
      <c r="I80" s="47">
        <f t="shared" si="10"/>
        <v>0</v>
      </c>
      <c r="J80" s="47">
        <f t="shared" si="10"/>
        <v>0</v>
      </c>
    </row>
    <row r="81" spans="3:10" s="34" customFormat="1" x14ac:dyDescent="0.2">
      <c r="C81" s="35" t="s">
        <v>347</v>
      </c>
      <c r="F81" s="48">
        <f>SUM(F34,F41,F49,F58)-F80</f>
        <v>0</v>
      </c>
      <c r="G81" s="48">
        <f t="shared" ref="G81:J81" si="11">SUM(G34,G41,G49,G58)-G80</f>
        <v>0</v>
      </c>
      <c r="H81" s="48">
        <f t="shared" si="11"/>
        <v>0</v>
      </c>
      <c r="I81" s="48">
        <f t="shared" si="11"/>
        <v>0</v>
      </c>
      <c r="J81" s="48">
        <f t="shared" si="11"/>
        <v>0</v>
      </c>
    </row>
    <row r="82" spans="3:10" s="32" customFormat="1" x14ac:dyDescent="0.2">
      <c r="C82" s="33" t="s">
        <v>346</v>
      </c>
      <c r="D82" s="32" t="s">
        <v>248</v>
      </c>
      <c r="E82" s="32" t="s">
        <v>249</v>
      </c>
      <c r="F82" s="47">
        <f>F34</f>
        <v>0</v>
      </c>
      <c r="G82" s="47">
        <f t="shared" ref="G82:J82" si="12">G34</f>
        <v>0</v>
      </c>
      <c r="H82" s="47">
        <f t="shared" si="12"/>
        <v>0</v>
      </c>
      <c r="I82" s="47">
        <f t="shared" si="12"/>
        <v>0</v>
      </c>
      <c r="J82" s="47">
        <f t="shared" si="12"/>
        <v>0</v>
      </c>
    </row>
    <row r="83" spans="3:10" s="34" customFormat="1" x14ac:dyDescent="0.2">
      <c r="C83" s="35" t="s">
        <v>347</v>
      </c>
      <c r="F83" s="48">
        <f>SUM(F35:F40)-F82</f>
        <v>0</v>
      </c>
      <c r="G83" s="48">
        <f t="shared" ref="G83:J83" si="13">SUM(G35:G40)-G82</f>
        <v>0</v>
      </c>
      <c r="H83" s="48">
        <f t="shared" si="13"/>
        <v>0</v>
      </c>
      <c r="I83" s="48">
        <f t="shared" si="13"/>
        <v>0</v>
      </c>
      <c r="J83" s="48">
        <f t="shared" si="13"/>
        <v>0</v>
      </c>
    </row>
    <row r="84" spans="3:10" s="32" customFormat="1" x14ac:dyDescent="0.2">
      <c r="C84" s="33" t="s">
        <v>346</v>
      </c>
      <c r="D84" s="32" t="s">
        <v>269</v>
      </c>
      <c r="E84" s="32" t="s">
        <v>270</v>
      </c>
      <c r="F84" s="47">
        <f>F41</f>
        <v>0</v>
      </c>
      <c r="G84" s="47">
        <f t="shared" ref="G84:J84" si="14">G41</f>
        <v>0</v>
      </c>
      <c r="H84" s="47">
        <f t="shared" si="14"/>
        <v>0</v>
      </c>
      <c r="I84" s="47">
        <f t="shared" si="14"/>
        <v>0</v>
      </c>
      <c r="J84" s="47">
        <f t="shared" si="14"/>
        <v>0</v>
      </c>
    </row>
    <row r="85" spans="3:10" s="34" customFormat="1" x14ac:dyDescent="0.2">
      <c r="C85" s="35" t="s">
        <v>347</v>
      </c>
      <c r="F85" s="48">
        <f>SUM(F42:F48)-F84</f>
        <v>0</v>
      </c>
      <c r="G85" s="48">
        <f t="shared" ref="G85:J85" si="15">SUM(G42:G48)-G84</f>
        <v>0</v>
      </c>
      <c r="H85" s="48">
        <f t="shared" si="15"/>
        <v>0</v>
      </c>
      <c r="I85" s="48">
        <f t="shared" si="15"/>
        <v>0</v>
      </c>
      <c r="J85" s="48">
        <f t="shared" si="15"/>
        <v>0</v>
      </c>
    </row>
    <row r="86" spans="3:10" s="32" customFormat="1" x14ac:dyDescent="0.2">
      <c r="C86" s="33" t="s">
        <v>346</v>
      </c>
      <c r="D86" s="32" t="s">
        <v>293</v>
      </c>
      <c r="E86" s="32" t="s">
        <v>294</v>
      </c>
      <c r="F86" s="47">
        <f>F49</f>
        <v>0</v>
      </c>
      <c r="G86" s="47">
        <f t="shared" ref="G86:J86" si="16">G49</f>
        <v>0</v>
      </c>
      <c r="H86" s="47">
        <f t="shared" si="16"/>
        <v>0</v>
      </c>
      <c r="I86" s="47">
        <f t="shared" si="16"/>
        <v>0</v>
      </c>
      <c r="J86" s="47">
        <f t="shared" si="16"/>
        <v>0</v>
      </c>
    </row>
    <row r="87" spans="3:10" s="34" customFormat="1" x14ac:dyDescent="0.2">
      <c r="C87" s="35" t="s">
        <v>347</v>
      </c>
      <c r="F87" s="48">
        <f>SUM(F50:F57)-F86</f>
        <v>0</v>
      </c>
      <c r="G87" s="48">
        <f t="shared" ref="G87:J87" si="17">SUM(G50:G57)-G86</f>
        <v>0</v>
      </c>
      <c r="H87" s="48">
        <f t="shared" si="17"/>
        <v>0</v>
      </c>
      <c r="I87" s="48">
        <f t="shared" si="17"/>
        <v>0</v>
      </c>
      <c r="J87" s="48">
        <f t="shared" si="17"/>
        <v>0</v>
      </c>
    </row>
    <row r="88" spans="3:10" s="32" customFormat="1" x14ac:dyDescent="0.2">
      <c r="C88" s="33" t="s">
        <v>346</v>
      </c>
      <c r="D88" s="32" t="s">
        <v>315</v>
      </c>
      <c r="E88" s="32" t="s">
        <v>316</v>
      </c>
      <c r="F88" s="47">
        <f>F58</f>
        <v>0</v>
      </c>
      <c r="G88" s="47">
        <f t="shared" ref="G88:J88" si="18">G58</f>
        <v>0</v>
      </c>
      <c r="H88" s="47">
        <f t="shared" si="18"/>
        <v>0</v>
      </c>
      <c r="I88" s="47">
        <f t="shared" si="18"/>
        <v>0</v>
      </c>
      <c r="J88" s="47">
        <f t="shared" si="18"/>
        <v>0</v>
      </c>
    </row>
    <row r="89" spans="3:10" s="34" customFormat="1" x14ac:dyDescent="0.2">
      <c r="C89" s="35" t="s">
        <v>347</v>
      </c>
      <c r="F89" s="48">
        <f>SUM(F59:F63)-F88</f>
        <v>0</v>
      </c>
      <c r="G89" s="48">
        <f t="shared" ref="G89:J89" si="19">SUM(G59:G63)-G88</f>
        <v>0</v>
      </c>
      <c r="H89" s="48">
        <f t="shared" si="19"/>
        <v>0</v>
      </c>
      <c r="I89" s="48">
        <f t="shared" si="19"/>
        <v>0</v>
      </c>
      <c r="J89" s="48">
        <f t="shared" si="19"/>
        <v>0</v>
      </c>
    </row>
    <row r="90" spans="3:10" s="32" customFormat="1" x14ac:dyDescent="0.2">
      <c r="C90" s="33" t="s">
        <v>346</v>
      </c>
      <c r="D90" s="32" t="s">
        <v>332</v>
      </c>
      <c r="E90" s="32" t="s">
        <v>333</v>
      </c>
      <c r="F90" s="47">
        <f>F64</f>
        <v>0</v>
      </c>
      <c r="G90" s="47">
        <f t="shared" ref="G90:J90" si="20">G64</f>
        <v>0</v>
      </c>
      <c r="H90" s="47">
        <f t="shared" si="20"/>
        <v>0</v>
      </c>
      <c r="I90" s="47">
        <f t="shared" si="20"/>
        <v>0</v>
      </c>
      <c r="J90" s="47">
        <f t="shared" si="20"/>
        <v>0</v>
      </c>
    </row>
    <row r="91" spans="3:10" s="34" customFormat="1" x14ac:dyDescent="0.2">
      <c r="C91" s="35" t="s">
        <v>347</v>
      </c>
      <c r="F91" s="48">
        <f>SUM(F65:F68)-F90</f>
        <v>0</v>
      </c>
      <c r="G91" s="48">
        <f t="shared" ref="G91:J91" si="21">SUM(G65:G68)-G90</f>
        <v>0</v>
      </c>
      <c r="H91" s="48">
        <f t="shared" si="21"/>
        <v>0</v>
      </c>
      <c r="I91" s="48">
        <f t="shared" si="21"/>
        <v>0</v>
      </c>
      <c r="J91" s="48">
        <f t="shared" si="21"/>
        <v>0</v>
      </c>
    </row>
  </sheetData>
  <autoFilter ref="B3:J68" xr:uid="{00000000-0009-0000-0000-000015000000}"/>
  <pageMargins left="0.7" right="0.7" top="0.75" bottom="0.75" header="0.3" footer="0.3"/>
  <pageSetup orientation="portrait" r:id="rId1"/>
  <headerFooter>
    <oddFooter>&amp;C&amp;7&amp;B&amp;"Arial"Document Classification: KPMG Confidential</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2" tint="-0.499984740745262"/>
  </sheetPr>
  <dimension ref="A1:J92"/>
  <sheetViews>
    <sheetView showGridLines="0" topLeftCell="D1" zoomScaleNormal="100" workbookViewId="0">
      <selection activeCell="F4" sqref="F4:J63"/>
    </sheetView>
  </sheetViews>
  <sheetFormatPr defaultColWidth="20" defaultRowHeight="12" outlineLevelCol="1" x14ac:dyDescent="0.2"/>
  <cols>
    <col min="1" max="1" width="10.28515625" style="22" customWidth="1" outlineLevel="1"/>
    <col min="2" max="2" width="10.28515625" style="36" customWidth="1" outlineLevel="1"/>
    <col min="3" max="3" width="10.28515625" style="22" customWidth="1"/>
    <col min="4" max="4" width="71.7109375" style="22" bestFit="1" customWidth="1"/>
    <col min="5" max="5" width="12" style="22" customWidth="1"/>
    <col min="6" max="6" width="24.5703125" style="22" customWidth="1"/>
    <col min="7" max="10" width="24" style="22" customWidth="1"/>
    <col min="11" max="16384" width="20" style="22"/>
  </cols>
  <sheetData>
    <row r="1" spans="1:10" x14ac:dyDescent="0.2">
      <c r="C1" s="37" t="str">
        <f>CONCATENATE("Firma:"," ",Aktíva!D1)</f>
        <v>Firma: XXY s.r.o.</v>
      </c>
      <c r="D1" s="26"/>
      <c r="E1" s="26"/>
      <c r="F1" s="26"/>
      <c r="G1" s="26"/>
      <c r="H1" s="26"/>
      <c r="I1" s="26"/>
      <c r="J1" s="26"/>
    </row>
    <row r="2" spans="1:10" x14ac:dyDescent="0.2">
      <c r="A2" s="46" t="s">
        <v>18</v>
      </c>
      <c r="B2" s="46"/>
      <c r="C2" s="26" t="s">
        <v>159</v>
      </c>
      <c r="F2" s="26"/>
      <c r="G2" s="26"/>
      <c r="H2" s="26"/>
      <c r="I2" s="26"/>
      <c r="J2" s="26"/>
    </row>
    <row r="3" spans="1:10" x14ac:dyDescent="0.2">
      <c r="A3" s="188" t="s">
        <v>160</v>
      </c>
      <c r="B3" s="188" t="s">
        <v>42</v>
      </c>
      <c r="C3" s="188" t="s">
        <v>161</v>
      </c>
      <c r="D3" s="188" t="s">
        <v>348</v>
      </c>
      <c r="E3" s="188" t="s">
        <v>163</v>
      </c>
      <c r="F3" s="188" t="str">
        <f>Aktíva!F2</f>
        <v>FY23</v>
      </c>
      <c r="G3" s="188" t="str">
        <f>Aktíva!G3</f>
        <v>FY22</v>
      </c>
      <c r="H3" s="188" t="str">
        <f>Aktíva!H3</f>
        <v>FY21</v>
      </c>
      <c r="I3" s="188" t="str">
        <f>Aktíva!I3</f>
        <v>FY20</v>
      </c>
      <c r="J3" s="188" t="str">
        <f>Aktíva!J3</f>
        <v>FY19</v>
      </c>
    </row>
    <row r="4" spans="1:10" ht="15" x14ac:dyDescent="0.25">
      <c r="A4" s="30"/>
      <c r="B4" s="31"/>
      <c r="C4" s="22" t="s">
        <v>159</v>
      </c>
      <c r="D4" s="22" t="s">
        <v>349</v>
      </c>
      <c r="E4" s="22" t="s">
        <v>350</v>
      </c>
      <c r="F4" s="699"/>
      <c r="G4" s="699"/>
      <c r="H4" s="699"/>
      <c r="I4" s="699"/>
      <c r="J4" s="699"/>
    </row>
    <row r="5" spans="1:10" ht="15" x14ac:dyDescent="0.25">
      <c r="A5" s="30"/>
      <c r="B5" s="31"/>
      <c r="C5" s="22" t="s">
        <v>166</v>
      </c>
      <c r="D5" s="22" t="s">
        <v>351</v>
      </c>
      <c r="E5" s="22" t="s">
        <v>352</v>
      </c>
      <c r="F5" s="699"/>
      <c r="G5" s="699"/>
      <c r="H5" s="699"/>
      <c r="I5" s="699"/>
      <c r="J5" s="699"/>
    </row>
    <row r="6" spans="1:10" ht="15" x14ac:dyDescent="0.25">
      <c r="A6" s="30">
        <v>80</v>
      </c>
      <c r="B6" s="31">
        <v>80</v>
      </c>
      <c r="C6" s="22" t="s">
        <v>353</v>
      </c>
      <c r="D6" s="22" t="s">
        <v>354</v>
      </c>
      <c r="E6" s="22" t="s">
        <v>355</v>
      </c>
      <c r="F6" s="699"/>
      <c r="G6" s="699"/>
      <c r="H6" s="699"/>
      <c r="I6" s="699"/>
      <c r="J6" s="699"/>
    </row>
    <row r="7" spans="1:10" ht="15" x14ac:dyDescent="0.25">
      <c r="A7" s="30"/>
      <c r="B7" s="31"/>
      <c r="C7" s="22" t="s">
        <v>172</v>
      </c>
      <c r="D7" s="22" t="s">
        <v>130</v>
      </c>
      <c r="E7" s="22" t="s">
        <v>356</v>
      </c>
      <c r="F7" s="699"/>
      <c r="G7" s="699"/>
      <c r="H7" s="699"/>
      <c r="I7" s="699"/>
      <c r="J7" s="699"/>
    </row>
    <row r="8" spans="1:10" ht="15" x14ac:dyDescent="0.25">
      <c r="A8" s="30"/>
      <c r="B8" s="31"/>
      <c r="C8" s="22" t="s">
        <v>175</v>
      </c>
      <c r="D8" s="22" t="s">
        <v>357</v>
      </c>
      <c r="E8" s="22" t="s">
        <v>358</v>
      </c>
      <c r="F8" s="699"/>
      <c r="G8" s="699"/>
      <c r="H8" s="699"/>
      <c r="I8" s="699"/>
      <c r="J8" s="699"/>
    </row>
    <row r="9" spans="1:10" ht="15" x14ac:dyDescent="0.25">
      <c r="A9" s="30"/>
      <c r="B9" s="31"/>
      <c r="C9" s="22" t="s">
        <v>177</v>
      </c>
      <c r="D9" s="22" t="s">
        <v>359</v>
      </c>
      <c r="E9" s="22" t="s">
        <v>360</v>
      </c>
      <c r="F9" s="699"/>
      <c r="G9" s="699"/>
      <c r="H9" s="699"/>
      <c r="I9" s="699"/>
      <c r="J9" s="699"/>
    </row>
    <row r="10" spans="1:10" ht="15" x14ac:dyDescent="0.25">
      <c r="A10" s="30"/>
      <c r="B10" s="31"/>
      <c r="C10" s="22" t="s">
        <v>179</v>
      </c>
      <c r="D10" s="22" t="s">
        <v>361</v>
      </c>
      <c r="E10" s="22" t="s">
        <v>362</v>
      </c>
      <c r="F10" s="699"/>
      <c r="G10" s="699"/>
      <c r="H10" s="699"/>
      <c r="I10" s="699"/>
      <c r="J10" s="699"/>
    </row>
    <row r="11" spans="1:10" ht="15" x14ac:dyDescent="0.25">
      <c r="A11" s="30">
        <v>83</v>
      </c>
      <c r="B11" s="31">
        <v>83</v>
      </c>
      <c r="C11" s="22" t="s">
        <v>363</v>
      </c>
      <c r="D11" s="22" t="s">
        <v>364</v>
      </c>
      <c r="E11" s="22" t="s">
        <v>365</v>
      </c>
      <c r="F11" s="699"/>
      <c r="G11" s="699"/>
      <c r="H11" s="699"/>
      <c r="I11" s="699"/>
      <c r="J11" s="699"/>
    </row>
    <row r="12" spans="1:10" ht="15" x14ac:dyDescent="0.25">
      <c r="A12" s="30"/>
      <c r="B12" s="31"/>
      <c r="C12" s="22" t="s">
        <v>193</v>
      </c>
      <c r="D12" s="22" t="s">
        <v>366</v>
      </c>
      <c r="E12" s="22" t="s">
        <v>367</v>
      </c>
      <c r="F12" s="699"/>
      <c r="G12" s="699"/>
      <c r="H12" s="699"/>
      <c r="I12" s="699"/>
      <c r="J12" s="699"/>
    </row>
    <row r="13" spans="1:10" ht="15" x14ac:dyDescent="0.25">
      <c r="A13" s="30"/>
      <c r="B13" s="31"/>
      <c r="C13" s="22" t="s">
        <v>195</v>
      </c>
      <c r="D13" s="22" t="s">
        <v>368</v>
      </c>
      <c r="E13" s="22" t="s">
        <v>369</v>
      </c>
      <c r="F13" s="699"/>
      <c r="G13" s="699"/>
      <c r="H13" s="699"/>
      <c r="I13" s="699"/>
      <c r="J13" s="699"/>
    </row>
    <row r="14" spans="1:10" ht="15" x14ac:dyDescent="0.25">
      <c r="A14" s="30"/>
      <c r="B14" s="31"/>
      <c r="C14" s="22" t="s">
        <v>197</v>
      </c>
      <c r="D14" s="22" t="s">
        <v>370</v>
      </c>
      <c r="E14" s="22" t="s">
        <v>371</v>
      </c>
      <c r="F14" s="699"/>
      <c r="G14" s="699"/>
      <c r="H14" s="699"/>
      <c r="I14" s="699"/>
      <c r="J14" s="699"/>
    </row>
    <row r="15" spans="1:10" ht="15" x14ac:dyDescent="0.25">
      <c r="A15" s="30"/>
      <c r="B15" s="31"/>
      <c r="C15" s="22" t="s">
        <v>199</v>
      </c>
      <c r="D15" s="22" t="s">
        <v>372</v>
      </c>
      <c r="E15" s="22" t="s">
        <v>373</v>
      </c>
      <c r="F15" s="699"/>
      <c r="G15" s="699"/>
      <c r="H15" s="699"/>
      <c r="I15" s="699"/>
      <c r="J15" s="699"/>
    </row>
    <row r="16" spans="1:10" ht="15" x14ac:dyDescent="0.25">
      <c r="A16" s="30"/>
      <c r="B16" s="31"/>
      <c r="C16" s="22" t="s">
        <v>202</v>
      </c>
      <c r="D16" s="22" t="s">
        <v>374</v>
      </c>
      <c r="E16" s="22" t="s">
        <v>375</v>
      </c>
      <c r="F16" s="699"/>
      <c r="G16" s="699"/>
      <c r="H16" s="699"/>
      <c r="I16" s="699"/>
      <c r="J16" s="699"/>
    </row>
    <row r="17" spans="1:10" ht="15" x14ac:dyDescent="0.25">
      <c r="A17" s="30"/>
      <c r="B17" s="31"/>
      <c r="C17" s="22" t="s">
        <v>205</v>
      </c>
      <c r="D17" s="22" t="s">
        <v>376</v>
      </c>
      <c r="E17" s="22" t="s">
        <v>377</v>
      </c>
      <c r="F17" s="699"/>
      <c r="G17" s="699"/>
      <c r="H17" s="699"/>
      <c r="I17" s="699"/>
      <c r="J17" s="699"/>
    </row>
    <row r="18" spans="1:10" ht="15" x14ac:dyDescent="0.25">
      <c r="A18" s="30">
        <v>83</v>
      </c>
      <c r="B18" s="31">
        <v>83</v>
      </c>
      <c r="C18" s="22" t="s">
        <v>378</v>
      </c>
      <c r="D18" s="22" t="s">
        <v>379</v>
      </c>
      <c r="E18" s="22" t="s">
        <v>380</v>
      </c>
      <c r="F18" s="699"/>
      <c r="G18" s="699"/>
      <c r="H18" s="699"/>
      <c r="I18" s="699"/>
      <c r="J18" s="699"/>
    </row>
    <row r="19" spans="1:10" ht="12" customHeight="1" x14ac:dyDescent="0.25">
      <c r="A19" s="30"/>
      <c r="B19" s="31"/>
      <c r="C19" s="22" t="s">
        <v>220</v>
      </c>
      <c r="D19" s="22" t="s">
        <v>381</v>
      </c>
      <c r="E19" s="22" t="s">
        <v>382</v>
      </c>
      <c r="F19" s="699"/>
      <c r="G19" s="699"/>
      <c r="H19" s="699"/>
      <c r="I19" s="699"/>
      <c r="J19" s="699"/>
    </row>
    <row r="20" spans="1:10" ht="12" customHeight="1" x14ac:dyDescent="0.25">
      <c r="A20" s="30"/>
      <c r="B20" s="31"/>
      <c r="C20" s="22" t="s">
        <v>220</v>
      </c>
      <c r="D20" s="22" t="s">
        <v>383</v>
      </c>
      <c r="E20" s="22" t="s">
        <v>384</v>
      </c>
      <c r="F20" s="700"/>
      <c r="G20" s="700"/>
      <c r="H20" s="700"/>
      <c r="I20" s="700"/>
      <c r="J20" s="700"/>
    </row>
    <row r="21" spans="1:10" ht="15" x14ac:dyDescent="0.25">
      <c r="A21" s="30"/>
      <c r="B21" s="31"/>
      <c r="C21" s="22" t="s">
        <v>220</v>
      </c>
      <c r="D21" s="22" t="s">
        <v>385</v>
      </c>
      <c r="E21" s="22" t="s">
        <v>386</v>
      </c>
      <c r="F21" s="699"/>
      <c r="G21" s="699"/>
      <c r="H21" s="699"/>
      <c r="I21" s="699"/>
      <c r="J21" s="699"/>
    </row>
    <row r="22" spans="1:10" ht="15" x14ac:dyDescent="0.25">
      <c r="A22" s="30">
        <v>84</v>
      </c>
      <c r="B22" s="31">
        <v>82</v>
      </c>
      <c r="C22" s="22" t="s">
        <v>387</v>
      </c>
      <c r="D22" s="22" t="s">
        <v>388</v>
      </c>
      <c r="E22" s="22" t="s">
        <v>389</v>
      </c>
      <c r="F22" s="699"/>
      <c r="G22" s="699"/>
      <c r="H22" s="699"/>
      <c r="I22" s="699"/>
      <c r="J22" s="699"/>
    </row>
    <row r="23" spans="1:10" ht="15" x14ac:dyDescent="0.25">
      <c r="A23" s="30"/>
      <c r="B23" s="31"/>
      <c r="C23" s="22" t="s">
        <v>390</v>
      </c>
      <c r="D23" s="22" t="s">
        <v>391</v>
      </c>
      <c r="E23" s="22" t="s">
        <v>392</v>
      </c>
      <c r="F23" s="699"/>
      <c r="G23" s="699"/>
      <c r="H23" s="699"/>
      <c r="I23" s="699"/>
      <c r="J23" s="699"/>
    </row>
    <row r="24" spans="1:10" ht="15" x14ac:dyDescent="0.25">
      <c r="A24" s="30"/>
      <c r="B24" s="31"/>
      <c r="C24" s="22" t="s">
        <v>393</v>
      </c>
      <c r="D24" s="22" t="s">
        <v>394</v>
      </c>
      <c r="E24" s="22" t="s">
        <v>395</v>
      </c>
      <c r="F24" s="699"/>
      <c r="G24" s="699"/>
      <c r="H24" s="699"/>
      <c r="I24" s="699"/>
      <c r="J24" s="699"/>
    </row>
    <row r="25" spans="1:10" ht="15" x14ac:dyDescent="0.25">
      <c r="A25" s="30"/>
      <c r="B25" s="31"/>
      <c r="C25" s="22" t="s">
        <v>396</v>
      </c>
      <c r="D25" s="22" t="s">
        <v>397</v>
      </c>
      <c r="E25" s="22" t="s">
        <v>398</v>
      </c>
      <c r="F25" s="699"/>
      <c r="G25" s="699"/>
      <c r="H25" s="699"/>
      <c r="I25" s="699"/>
      <c r="J25" s="699"/>
    </row>
    <row r="26" spans="1:10" ht="15" x14ac:dyDescent="0.25">
      <c r="A26" s="30"/>
      <c r="B26" s="31"/>
      <c r="C26" s="22" t="s">
        <v>244</v>
      </c>
      <c r="D26" s="22" t="s">
        <v>399</v>
      </c>
      <c r="E26" s="22" t="s">
        <v>400</v>
      </c>
      <c r="F26" s="699"/>
      <c r="G26" s="699"/>
      <c r="H26" s="699"/>
      <c r="I26" s="699"/>
      <c r="J26" s="699"/>
    </row>
    <row r="27" spans="1:10" ht="15" x14ac:dyDescent="0.25">
      <c r="A27" s="30"/>
      <c r="B27" s="31">
        <v>81</v>
      </c>
      <c r="C27" s="22" t="s">
        <v>401</v>
      </c>
      <c r="D27" s="22" t="s">
        <v>402</v>
      </c>
      <c r="E27" s="22" t="s">
        <v>403</v>
      </c>
      <c r="F27" s="699"/>
      <c r="G27" s="699"/>
      <c r="H27" s="699"/>
      <c r="I27" s="699"/>
      <c r="J27" s="699"/>
    </row>
    <row r="28" spans="1:10" ht="15" x14ac:dyDescent="0.25">
      <c r="A28" s="30" t="s">
        <v>143</v>
      </c>
      <c r="B28" s="31"/>
      <c r="C28" s="22" t="s">
        <v>250</v>
      </c>
      <c r="D28" s="22" t="s">
        <v>404</v>
      </c>
      <c r="E28" s="22" t="s">
        <v>405</v>
      </c>
      <c r="F28" s="699"/>
      <c r="G28" s="699"/>
      <c r="H28" s="699"/>
      <c r="I28" s="699"/>
      <c r="J28" s="699"/>
    </row>
    <row r="29" spans="1:10" ht="15" x14ac:dyDescent="0.25">
      <c r="A29" s="30" t="s">
        <v>149</v>
      </c>
      <c r="B29" s="31"/>
      <c r="C29" s="22" t="s">
        <v>253</v>
      </c>
      <c r="D29" s="22" t="s">
        <v>406</v>
      </c>
      <c r="E29" s="22" t="s">
        <v>407</v>
      </c>
      <c r="F29" s="699"/>
      <c r="G29" s="699"/>
      <c r="H29" s="699"/>
      <c r="I29" s="699"/>
      <c r="J29" s="699"/>
    </row>
    <row r="30" spans="1:10" ht="15" x14ac:dyDescent="0.25">
      <c r="A30" s="30" t="s">
        <v>143</v>
      </c>
      <c r="B30" s="31"/>
      <c r="C30" s="22" t="s">
        <v>256</v>
      </c>
      <c r="D30" s="22" t="s">
        <v>408</v>
      </c>
      <c r="E30" s="22" t="s">
        <v>409</v>
      </c>
      <c r="F30" s="699"/>
      <c r="G30" s="699"/>
      <c r="H30" s="699"/>
      <c r="I30" s="699"/>
      <c r="J30" s="699"/>
    </row>
    <row r="31" spans="1:10" ht="15" x14ac:dyDescent="0.25">
      <c r="A31" s="30" t="s">
        <v>149</v>
      </c>
      <c r="B31" s="31"/>
      <c r="C31" s="22" t="s">
        <v>259</v>
      </c>
      <c r="D31" s="22" t="s">
        <v>410</v>
      </c>
      <c r="E31" s="22" t="s">
        <v>411</v>
      </c>
      <c r="F31" s="699"/>
      <c r="G31" s="699"/>
      <c r="H31" s="699"/>
      <c r="I31" s="699"/>
      <c r="J31" s="699"/>
    </row>
    <row r="32" spans="1:10" ht="15" x14ac:dyDescent="0.25">
      <c r="A32" s="30"/>
      <c r="B32" s="31"/>
      <c r="C32" s="22" t="s">
        <v>412</v>
      </c>
      <c r="D32" s="22" t="s">
        <v>413</v>
      </c>
      <c r="E32" s="22" t="s">
        <v>414</v>
      </c>
      <c r="F32" s="699"/>
      <c r="G32" s="699"/>
      <c r="H32" s="699"/>
      <c r="I32" s="699"/>
      <c r="J32" s="699"/>
    </row>
    <row r="33" spans="1:10" ht="15" x14ac:dyDescent="0.25">
      <c r="A33" s="30" t="s">
        <v>15</v>
      </c>
      <c r="B33" s="31" t="s">
        <v>15</v>
      </c>
      <c r="C33" s="22" t="s">
        <v>271</v>
      </c>
      <c r="D33" s="22" t="s">
        <v>415</v>
      </c>
      <c r="E33" s="22" t="s">
        <v>416</v>
      </c>
      <c r="F33" s="699"/>
      <c r="G33" s="699"/>
      <c r="H33" s="699"/>
      <c r="I33" s="699"/>
      <c r="J33" s="699"/>
    </row>
    <row r="34" spans="1:10" ht="15" x14ac:dyDescent="0.25">
      <c r="A34" s="30">
        <v>89</v>
      </c>
      <c r="B34" s="31" t="s">
        <v>15</v>
      </c>
      <c r="C34" s="22" t="s">
        <v>274</v>
      </c>
      <c r="D34" s="22" t="s">
        <v>275</v>
      </c>
      <c r="E34" s="22" t="s">
        <v>417</v>
      </c>
      <c r="F34" s="699"/>
      <c r="G34" s="699"/>
      <c r="H34" s="699"/>
      <c r="I34" s="699"/>
      <c r="J34" s="699"/>
    </row>
    <row r="35" spans="1:10" ht="15" x14ac:dyDescent="0.25">
      <c r="A35" s="30">
        <v>89</v>
      </c>
      <c r="B35" s="31" t="s">
        <v>141</v>
      </c>
      <c r="C35" s="22" t="s">
        <v>277</v>
      </c>
      <c r="D35" s="22" t="s">
        <v>418</v>
      </c>
      <c r="E35" s="22" t="s">
        <v>419</v>
      </c>
      <c r="F35" s="699"/>
      <c r="G35" s="699"/>
      <c r="H35" s="699"/>
      <c r="I35" s="699"/>
      <c r="J35" s="699"/>
    </row>
    <row r="36" spans="1:10" ht="15" x14ac:dyDescent="0.25">
      <c r="A36" s="30" t="s">
        <v>141</v>
      </c>
      <c r="B36" s="31" t="s">
        <v>139</v>
      </c>
      <c r="C36" s="22" t="s">
        <v>280</v>
      </c>
      <c r="D36" s="22" t="s">
        <v>420</v>
      </c>
      <c r="E36" s="22" t="s">
        <v>421</v>
      </c>
      <c r="F36" s="699"/>
      <c r="G36" s="699"/>
      <c r="H36" s="699"/>
      <c r="I36" s="699"/>
      <c r="J36" s="699"/>
    </row>
    <row r="37" spans="1:10" ht="15" x14ac:dyDescent="0.25">
      <c r="A37" s="30">
        <v>89</v>
      </c>
      <c r="B37" s="31" t="s">
        <v>141</v>
      </c>
      <c r="C37" s="22" t="s">
        <v>283</v>
      </c>
      <c r="D37" s="22" t="s">
        <v>422</v>
      </c>
      <c r="E37" s="22" t="s">
        <v>423</v>
      </c>
      <c r="F37" s="699"/>
      <c r="G37" s="699"/>
      <c r="H37" s="699"/>
      <c r="I37" s="699"/>
      <c r="J37" s="699"/>
    </row>
    <row r="38" spans="1:10" ht="15" x14ac:dyDescent="0.25">
      <c r="A38" s="30">
        <v>89</v>
      </c>
      <c r="B38" s="31" t="s">
        <v>141</v>
      </c>
      <c r="C38" s="22" t="s">
        <v>286</v>
      </c>
      <c r="D38" s="22" t="s">
        <v>424</v>
      </c>
      <c r="E38" s="22" t="s">
        <v>425</v>
      </c>
      <c r="F38" s="699"/>
      <c r="G38" s="699"/>
      <c r="H38" s="699"/>
      <c r="I38" s="699"/>
      <c r="J38" s="699"/>
    </row>
    <row r="39" spans="1:10" ht="15" x14ac:dyDescent="0.25">
      <c r="A39" s="30">
        <v>89</v>
      </c>
      <c r="B39" s="31" t="s">
        <v>141</v>
      </c>
      <c r="C39" s="22" t="s">
        <v>289</v>
      </c>
      <c r="D39" s="22" t="s">
        <v>426</v>
      </c>
      <c r="E39" s="22" t="s">
        <v>427</v>
      </c>
      <c r="F39" s="699"/>
      <c r="G39" s="699"/>
      <c r="H39" s="699"/>
      <c r="I39" s="699"/>
      <c r="J39" s="699"/>
    </row>
    <row r="40" spans="1:10" ht="15" x14ac:dyDescent="0.25">
      <c r="A40" s="30">
        <v>87</v>
      </c>
      <c r="B40" s="31" t="s">
        <v>141</v>
      </c>
      <c r="C40" s="22" t="s">
        <v>428</v>
      </c>
      <c r="D40" s="22" t="s">
        <v>429</v>
      </c>
      <c r="E40" s="22" t="s">
        <v>430</v>
      </c>
      <c r="F40" s="699"/>
      <c r="G40" s="699"/>
      <c r="H40" s="699"/>
      <c r="I40" s="699"/>
      <c r="J40" s="699"/>
    </row>
    <row r="41" spans="1:10" ht="15" x14ac:dyDescent="0.25">
      <c r="A41" s="30">
        <v>89</v>
      </c>
      <c r="B41" s="31" t="s">
        <v>141</v>
      </c>
      <c r="C41" s="22" t="s">
        <v>431</v>
      </c>
      <c r="D41" s="22" t="s">
        <v>432</v>
      </c>
      <c r="E41" s="22" t="s">
        <v>433</v>
      </c>
      <c r="F41" s="699"/>
      <c r="G41" s="699"/>
      <c r="H41" s="699"/>
      <c r="I41" s="699"/>
      <c r="J41" s="699"/>
    </row>
    <row r="42" spans="1:10" ht="15" x14ac:dyDescent="0.25">
      <c r="A42" s="30">
        <v>89</v>
      </c>
      <c r="B42" s="31" t="s">
        <v>141</v>
      </c>
      <c r="C42" s="22" t="s">
        <v>434</v>
      </c>
      <c r="D42" s="22" t="s">
        <v>435</v>
      </c>
      <c r="E42" s="22" t="s">
        <v>436</v>
      </c>
      <c r="F42" s="699"/>
      <c r="G42" s="699"/>
      <c r="H42" s="699"/>
      <c r="I42" s="699"/>
      <c r="J42" s="699"/>
    </row>
    <row r="43" spans="1:10" ht="15" x14ac:dyDescent="0.25">
      <c r="A43" s="30">
        <v>89</v>
      </c>
      <c r="B43" s="31" t="s">
        <v>143</v>
      </c>
      <c r="C43" s="22" t="s">
        <v>437</v>
      </c>
      <c r="D43" s="22" t="s">
        <v>438</v>
      </c>
      <c r="E43" s="22" t="s">
        <v>439</v>
      </c>
      <c r="F43" s="699"/>
      <c r="G43" s="699"/>
      <c r="H43" s="699"/>
      <c r="I43" s="699"/>
      <c r="J43" s="699"/>
    </row>
    <row r="44" spans="1:10" ht="15" x14ac:dyDescent="0.25">
      <c r="A44" s="30"/>
      <c r="B44" s="31"/>
      <c r="C44" s="22" t="s">
        <v>440</v>
      </c>
      <c r="D44" s="22" t="s">
        <v>441</v>
      </c>
      <c r="E44" s="22" t="s">
        <v>442</v>
      </c>
      <c r="F44" s="699"/>
      <c r="G44" s="699"/>
      <c r="H44" s="699"/>
      <c r="I44" s="699"/>
      <c r="J44" s="699"/>
    </row>
    <row r="45" spans="1:10" ht="15" x14ac:dyDescent="0.25">
      <c r="A45" s="30" t="s">
        <v>16</v>
      </c>
      <c r="B45" s="31" t="s">
        <v>16</v>
      </c>
      <c r="C45" s="22" t="s">
        <v>295</v>
      </c>
      <c r="D45" s="22" t="s">
        <v>443</v>
      </c>
      <c r="E45" s="22" t="s">
        <v>444</v>
      </c>
      <c r="F45" s="699"/>
      <c r="G45" s="699"/>
      <c r="H45" s="699"/>
      <c r="I45" s="699"/>
      <c r="J45" s="699"/>
    </row>
    <row r="46" spans="1:10" ht="15" x14ac:dyDescent="0.25">
      <c r="A46" s="30">
        <v>90</v>
      </c>
      <c r="B46" s="31" t="s">
        <v>16</v>
      </c>
      <c r="C46" s="22" t="s">
        <v>297</v>
      </c>
      <c r="D46" s="22" t="s">
        <v>275</v>
      </c>
      <c r="E46" s="22" t="s">
        <v>445</v>
      </c>
      <c r="F46" s="699"/>
      <c r="G46" s="699"/>
      <c r="H46" s="699"/>
      <c r="I46" s="699"/>
      <c r="J46" s="699"/>
    </row>
    <row r="47" spans="1:10" ht="15" x14ac:dyDescent="0.25">
      <c r="A47" s="30">
        <v>90</v>
      </c>
      <c r="B47" s="31" t="s">
        <v>146</v>
      </c>
      <c r="C47" s="22" t="s">
        <v>299</v>
      </c>
      <c r="D47" s="22" t="s">
        <v>446</v>
      </c>
      <c r="E47" s="22" t="s">
        <v>447</v>
      </c>
      <c r="F47" s="699"/>
      <c r="G47" s="699"/>
      <c r="H47" s="699"/>
      <c r="I47" s="699"/>
      <c r="J47" s="699"/>
    </row>
    <row r="48" spans="1:10" ht="15" x14ac:dyDescent="0.25">
      <c r="A48" s="30" t="s">
        <v>146</v>
      </c>
      <c r="B48" s="31" t="s">
        <v>145</v>
      </c>
      <c r="C48" s="22" t="s">
        <v>302</v>
      </c>
      <c r="D48" s="22" t="s">
        <v>448</v>
      </c>
      <c r="E48" s="22" t="s">
        <v>449</v>
      </c>
      <c r="F48" s="699"/>
      <c r="G48" s="699"/>
      <c r="H48" s="699"/>
      <c r="I48" s="699"/>
      <c r="J48" s="699"/>
    </row>
    <row r="49" spans="1:10" ht="15" x14ac:dyDescent="0.25">
      <c r="A49" s="30" t="s">
        <v>146</v>
      </c>
      <c r="B49" s="31" t="s">
        <v>146</v>
      </c>
      <c r="C49" s="22" t="s">
        <v>304</v>
      </c>
      <c r="D49" s="22" t="s">
        <v>450</v>
      </c>
      <c r="E49" s="22" t="s">
        <v>451</v>
      </c>
      <c r="F49" s="699"/>
      <c r="G49" s="699"/>
      <c r="H49" s="699"/>
      <c r="I49" s="699"/>
      <c r="J49" s="699"/>
    </row>
    <row r="50" spans="1:10" ht="15" x14ac:dyDescent="0.25">
      <c r="A50" s="30" t="s">
        <v>146</v>
      </c>
      <c r="B50" s="31" t="s">
        <v>145</v>
      </c>
      <c r="C50" s="22" t="s">
        <v>306</v>
      </c>
      <c r="D50" s="22" t="s">
        <v>452</v>
      </c>
      <c r="E50" s="22" t="s">
        <v>453</v>
      </c>
      <c r="F50" s="699"/>
      <c r="G50" s="699"/>
      <c r="H50" s="699"/>
      <c r="I50" s="699"/>
      <c r="J50" s="699"/>
    </row>
    <row r="51" spans="1:10" ht="15" x14ac:dyDescent="0.25">
      <c r="A51" s="30">
        <v>90</v>
      </c>
      <c r="B51" s="31">
        <v>89</v>
      </c>
      <c r="C51" s="22" t="s">
        <v>309</v>
      </c>
      <c r="D51" s="22" t="s">
        <v>454</v>
      </c>
      <c r="E51" s="22" t="s">
        <v>455</v>
      </c>
      <c r="F51" s="699"/>
      <c r="G51" s="699"/>
      <c r="H51" s="699"/>
      <c r="I51" s="699"/>
      <c r="J51" s="699"/>
    </row>
    <row r="52" spans="1:10" ht="15" x14ac:dyDescent="0.25">
      <c r="A52" s="30">
        <v>90</v>
      </c>
      <c r="B52" s="31">
        <v>89</v>
      </c>
      <c r="C52" s="22" t="s">
        <v>312</v>
      </c>
      <c r="D52" s="22" t="s">
        <v>456</v>
      </c>
      <c r="E52" s="22" t="s">
        <v>457</v>
      </c>
      <c r="F52" s="699"/>
      <c r="G52" s="699"/>
      <c r="H52" s="699"/>
      <c r="I52" s="699"/>
      <c r="J52" s="699"/>
    </row>
    <row r="53" spans="1:10" ht="15" x14ac:dyDescent="0.25">
      <c r="A53" s="30">
        <v>90</v>
      </c>
      <c r="B53" s="31" t="s">
        <v>149</v>
      </c>
      <c r="C53" s="22" t="s">
        <v>458</v>
      </c>
      <c r="D53" s="22" t="s">
        <v>459</v>
      </c>
      <c r="E53" s="22" t="s">
        <v>460</v>
      </c>
      <c r="F53" s="699"/>
      <c r="G53" s="699"/>
      <c r="H53" s="699"/>
      <c r="I53" s="699"/>
      <c r="J53" s="699"/>
    </row>
    <row r="54" spans="1:10" ht="15" x14ac:dyDescent="0.25">
      <c r="A54" s="30">
        <v>90</v>
      </c>
      <c r="B54" s="31" t="s">
        <v>146</v>
      </c>
      <c r="C54" s="22" t="s">
        <v>461</v>
      </c>
      <c r="D54" s="22" t="s">
        <v>142</v>
      </c>
      <c r="E54" s="22" t="s">
        <v>462</v>
      </c>
      <c r="F54" s="699"/>
      <c r="G54" s="699"/>
      <c r="H54" s="699"/>
      <c r="I54" s="699"/>
      <c r="J54" s="699"/>
    </row>
    <row r="55" spans="1:10" ht="15" x14ac:dyDescent="0.25">
      <c r="A55" s="30">
        <v>91</v>
      </c>
      <c r="B55" s="31">
        <v>96</v>
      </c>
      <c r="C55" s="22" t="s">
        <v>463</v>
      </c>
      <c r="D55" s="22" t="s">
        <v>464</v>
      </c>
      <c r="E55" s="22" t="s">
        <v>465</v>
      </c>
      <c r="F55" s="699"/>
      <c r="G55" s="699"/>
      <c r="H55" s="699"/>
      <c r="I55" s="699"/>
      <c r="J55" s="699"/>
    </row>
    <row r="56" spans="1:10" ht="15" x14ac:dyDescent="0.25">
      <c r="A56" s="30"/>
      <c r="B56" s="31"/>
      <c r="C56" s="22" t="s">
        <v>466</v>
      </c>
      <c r="D56" s="22" t="s">
        <v>467</v>
      </c>
      <c r="E56" s="22" t="s">
        <v>468</v>
      </c>
      <c r="F56" s="699"/>
      <c r="G56" s="699"/>
      <c r="H56" s="699"/>
      <c r="I56" s="699"/>
      <c r="J56" s="699"/>
    </row>
    <row r="57" spans="1:10" ht="15" x14ac:dyDescent="0.25">
      <c r="A57" s="30">
        <v>87</v>
      </c>
      <c r="B57" s="31">
        <v>95</v>
      </c>
      <c r="C57" s="22" t="s">
        <v>469</v>
      </c>
      <c r="D57" s="22" t="s">
        <v>470</v>
      </c>
      <c r="E57" s="22" t="s">
        <v>471</v>
      </c>
      <c r="F57" s="699"/>
      <c r="G57" s="699"/>
      <c r="H57" s="699"/>
      <c r="I57" s="699"/>
      <c r="J57" s="699"/>
    </row>
    <row r="58" spans="1:10" ht="15" x14ac:dyDescent="0.25">
      <c r="A58" s="30">
        <v>91</v>
      </c>
      <c r="B58" s="31">
        <v>96</v>
      </c>
      <c r="C58" s="22" t="s">
        <v>469</v>
      </c>
      <c r="D58" s="22" t="s">
        <v>472</v>
      </c>
      <c r="E58" s="22" t="s">
        <v>473</v>
      </c>
      <c r="F58" s="699"/>
      <c r="G58" s="699"/>
      <c r="H58" s="699"/>
      <c r="I58" s="699"/>
      <c r="J58" s="699"/>
    </row>
    <row r="59" spans="1:10" ht="15" x14ac:dyDescent="0.25">
      <c r="A59" s="30">
        <v>92</v>
      </c>
      <c r="B59" s="31">
        <v>97</v>
      </c>
      <c r="C59" s="22" t="s">
        <v>331</v>
      </c>
      <c r="D59" s="22" t="s">
        <v>474</v>
      </c>
      <c r="E59" s="22" t="s">
        <v>475</v>
      </c>
      <c r="F59" s="699"/>
      <c r="G59" s="699"/>
      <c r="H59" s="699"/>
      <c r="I59" s="699"/>
      <c r="J59" s="699"/>
    </row>
    <row r="60" spans="1:10" ht="15" x14ac:dyDescent="0.25">
      <c r="A60" s="30"/>
      <c r="B60" s="31"/>
      <c r="C60" s="22" t="s">
        <v>334</v>
      </c>
      <c r="D60" s="22" t="s">
        <v>476</v>
      </c>
      <c r="E60" s="22" t="s">
        <v>477</v>
      </c>
      <c r="F60" s="699"/>
      <c r="G60" s="699"/>
      <c r="H60" s="699"/>
      <c r="I60" s="699"/>
      <c r="J60" s="699"/>
    </row>
    <row r="61" spans="1:10" ht="15" x14ac:dyDescent="0.25">
      <c r="A61" s="30"/>
      <c r="B61" s="31"/>
      <c r="C61" s="22" t="s">
        <v>334</v>
      </c>
      <c r="D61" s="22" t="s">
        <v>478</v>
      </c>
      <c r="E61" s="22" t="s">
        <v>479</v>
      </c>
      <c r="F61" s="699"/>
      <c r="G61" s="699"/>
      <c r="H61" s="699"/>
      <c r="I61" s="699"/>
      <c r="J61" s="699"/>
    </row>
    <row r="62" spans="1:10" ht="15" x14ac:dyDescent="0.25">
      <c r="A62" s="30"/>
      <c r="B62" s="31"/>
      <c r="C62" s="22" t="s">
        <v>334</v>
      </c>
      <c r="D62" s="22" t="s">
        <v>480</v>
      </c>
      <c r="E62" s="22" t="s">
        <v>481</v>
      </c>
      <c r="F62" s="699"/>
      <c r="G62" s="699"/>
      <c r="H62" s="699"/>
      <c r="I62" s="699"/>
      <c r="J62" s="699"/>
    </row>
    <row r="63" spans="1:10" ht="15" x14ac:dyDescent="0.25">
      <c r="A63" s="30"/>
      <c r="B63" s="31"/>
      <c r="C63" s="22" t="s">
        <v>334</v>
      </c>
      <c r="D63" s="22" t="s">
        <v>482</v>
      </c>
      <c r="E63" s="22" t="s">
        <v>483</v>
      </c>
      <c r="F63" s="699"/>
      <c r="G63" s="699"/>
      <c r="H63" s="699"/>
      <c r="I63" s="699"/>
      <c r="J63" s="699"/>
    </row>
    <row r="67" spans="2:10" x14ac:dyDescent="0.2">
      <c r="C67" s="22" t="s">
        <v>346</v>
      </c>
      <c r="D67" s="22" t="s">
        <v>349</v>
      </c>
      <c r="E67" s="22" t="s">
        <v>350</v>
      </c>
      <c r="F67" s="49">
        <f>F4</f>
        <v>0</v>
      </c>
      <c r="G67" s="49">
        <f t="shared" ref="G67:J67" si="0">G4</f>
        <v>0</v>
      </c>
      <c r="H67" s="49">
        <f t="shared" si="0"/>
        <v>0</v>
      </c>
      <c r="I67" s="49">
        <f t="shared" si="0"/>
        <v>0</v>
      </c>
      <c r="J67" s="49">
        <f t="shared" si="0"/>
        <v>0</v>
      </c>
    </row>
    <row r="68" spans="2:10" s="34" customFormat="1" x14ac:dyDescent="0.2">
      <c r="B68" s="39"/>
      <c r="C68" s="34" t="s">
        <v>347</v>
      </c>
      <c r="F68" s="48">
        <f>(F5+F26+F59)-F67</f>
        <v>0</v>
      </c>
      <c r="G68" s="48">
        <f t="shared" ref="G68:J68" si="1">(G5+G26+G59)-G67</f>
        <v>0</v>
      </c>
      <c r="H68" s="48">
        <f t="shared" si="1"/>
        <v>0</v>
      </c>
      <c r="I68" s="48">
        <f t="shared" si="1"/>
        <v>0</v>
      </c>
      <c r="J68" s="48">
        <f t="shared" si="1"/>
        <v>0</v>
      </c>
    </row>
    <row r="69" spans="2:10" x14ac:dyDescent="0.2">
      <c r="C69" s="22" t="s">
        <v>346</v>
      </c>
      <c r="D69" s="22" t="s">
        <v>351</v>
      </c>
      <c r="E69" s="22" t="s">
        <v>352</v>
      </c>
      <c r="F69" s="49">
        <f>F5</f>
        <v>0</v>
      </c>
      <c r="G69" s="49">
        <f t="shared" ref="G69:J69" si="2">G5</f>
        <v>0</v>
      </c>
      <c r="H69" s="49">
        <f t="shared" si="2"/>
        <v>0</v>
      </c>
      <c r="I69" s="49">
        <f t="shared" si="2"/>
        <v>0</v>
      </c>
      <c r="J69" s="49">
        <f t="shared" si="2"/>
        <v>0</v>
      </c>
    </row>
    <row r="70" spans="2:10" s="34" customFormat="1" x14ac:dyDescent="0.2">
      <c r="B70" s="39"/>
      <c r="C70" s="34" t="s">
        <v>347</v>
      </c>
      <c r="F70" s="48">
        <f>(F6+F11+F18+F22+F25)-F69</f>
        <v>0</v>
      </c>
      <c r="G70" s="48">
        <f t="shared" ref="G70:J70" si="3">(G6+G11+G18+G22+G25)-G69</f>
        <v>0</v>
      </c>
      <c r="H70" s="48">
        <f t="shared" si="3"/>
        <v>0</v>
      </c>
      <c r="I70" s="48">
        <f t="shared" si="3"/>
        <v>0</v>
      </c>
      <c r="J70" s="48">
        <f t="shared" si="3"/>
        <v>0</v>
      </c>
    </row>
    <row r="71" spans="2:10" x14ac:dyDescent="0.2">
      <c r="C71" s="22" t="s">
        <v>346</v>
      </c>
      <c r="D71" s="22" t="s">
        <v>354</v>
      </c>
      <c r="E71" s="22" t="s">
        <v>355</v>
      </c>
      <c r="F71" s="49">
        <f>F6</f>
        <v>0</v>
      </c>
      <c r="G71" s="49">
        <f t="shared" ref="G71:J71" si="4">G6</f>
        <v>0</v>
      </c>
      <c r="H71" s="49">
        <f t="shared" si="4"/>
        <v>0</v>
      </c>
      <c r="I71" s="49">
        <f t="shared" si="4"/>
        <v>0</v>
      </c>
      <c r="J71" s="49">
        <f t="shared" si="4"/>
        <v>0</v>
      </c>
    </row>
    <row r="72" spans="2:10" s="34" customFormat="1" x14ac:dyDescent="0.2">
      <c r="B72" s="39"/>
      <c r="C72" s="34" t="s">
        <v>347</v>
      </c>
      <c r="F72" s="48">
        <f>SUM(F7,F8,F9,F10)-F71</f>
        <v>0</v>
      </c>
      <c r="G72" s="48">
        <f t="shared" ref="G72:J72" si="5">SUM(G7,G8,G9,G10)-G71</f>
        <v>0</v>
      </c>
      <c r="H72" s="48">
        <f t="shared" si="5"/>
        <v>0</v>
      </c>
      <c r="I72" s="48">
        <f t="shared" si="5"/>
        <v>0</v>
      </c>
      <c r="J72" s="48">
        <f t="shared" si="5"/>
        <v>0</v>
      </c>
    </row>
    <row r="73" spans="2:10" x14ac:dyDescent="0.2">
      <c r="C73" s="22" t="s">
        <v>346</v>
      </c>
      <c r="D73" s="22" t="s">
        <v>364</v>
      </c>
      <c r="E73" s="22" t="s">
        <v>365</v>
      </c>
      <c r="F73" s="49">
        <f>F11</f>
        <v>0</v>
      </c>
      <c r="G73" s="49">
        <f t="shared" ref="G73:J73" si="6">G11</f>
        <v>0</v>
      </c>
      <c r="H73" s="49">
        <f t="shared" si="6"/>
        <v>0</v>
      </c>
      <c r="I73" s="49">
        <f t="shared" si="6"/>
        <v>0</v>
      </c>
      <c r="J73" s="49">
        <f t="shared" si="6"/>
        <v>0</v>
      </c>
    </row>
    <row r="74" spans="2:10" s="34" customFormat="1" x14ac:dyDescent="0.2">
      <c r="B74" s="39"/>
      <c r="C74" s="34" t="s">
        <v>347</v>
      </c>
      <c r="F74" s="48">
        <f>SUM(F12:F17)-F73</f>
        <v>0</v>
      </c>
      <c r="G74" s="48">
        <f t="shared" ref="G74:J74" si="7">SUM(G12:G17)-G73</f>
        <v>0</v>
      </c>
      <c r="H74" s="48">
        <f t="shared" si="7"/>
        <v>0</v>
      </c>
      <c r="I74" s="48">
        <f t="shared" si="7"/>
        <v>0</v>
      </c>
      <c r="J74" s="48">
        <f t="shared" si="7"/>
        <v>0</v>
      </c>
    </row>
    <row r="75" spans="2:10" x14ac:dyDescent="0.2">
      <c r="C75" s="22" t="s">
        <v>346</v>
      </c>
      <c r="D75" s="22" t="s">
        <v>379</v>
      </c>
      <c r="E75" s="22" t="s">
        <v>380</v>
      </c>
      <c r="F75" s="49">
        <f>F18</f>
        <v>0</v>
      </c>
      <c r="G75" s="49">
        <f t="shared" ref="G75:J75" si="8">G18</f>
        <v>0</v>
      </c>
      <c r="H75" s="49">
        <f t="shared" si="8"/>
        <v>0</v>
      </c>
      <c r="I75" s="49">
        <f t="shared" si="8"/>
        <v>0</v>
      </c>
      <c r="J75" s="49">
        <f t="shared" si="8"/>
        <v>0</v>
      </c>
    </row>
    <row r="76" spans="2:10" s="34" customFormat="1" x14ac:dyDescent="0.2">
      <c r="B76" s="39"/>
      <c r="C76" s="34" t="s">
        <v>347</v>
      </c>
      <c r="F76" s="48">
        <f>SUM(F19:F21)-F75</f>
        <v>0</v>
      </c>
      <c r="G76" s="48">
        <f t="shared" ref="G76:J76" si="9">SUM(G19:G21)-G75</f>
        <v>0</v>
      </c>
      <c r="H76" s="48">
        <f t="shared" si="9"/>
        <v>0</v>
      </c>
      <c r="I76" s="48">
        <f t="shared" si="9"/>
        <v>0</v>
      </c>
      <c r="J76" s="48">
        <f t="shared" si="9"/>
        <v>0</v>
      </c>
    </row>
    <row r="77" spans="2:10" x14ac:dyDescent="0.2">
      <c r="C77" s="22" t="s">
        <v>346</v>
      </c>
      <c r="D77" s="22" t="s">
        <v>388</v>
      </c>
      <c r="E77" s="22" t="s">
        <v>389</v>
      </c>
      <c r="F77" s="49">
        <f>F22</f>
        <v>0</v>
      </c>
      <c r="G77" s="49">
        <f t="shared" ref="G77:J77" si="10">G22</f>
        <v>0</v>
      </c>
      <c r="H77" s="49">
        <f t="shared" si="10"/>
        <v>0</v>
      </c>
      <c r="I77" s="49">
        <f t="shared" si="10"/>
        <v>0</v>
      </c>
      <c r="J77" s="49">
        <f t="shared" si="10"/>
        <v>0</v>
      </c>
    </row>
    <row r="78" spans="2:10" s="34" customFormat="1" x14ac:dyDescent="0.2">
      <c r="B78" s="39"/>
      <c r="C78" s="34" t="s">
        <v>347</v>
      </c>
      <c r="F78" s="48">
        <f>(F23+F24)-F77</f>
        <v>0</v>
      </c>
      <c r="G78" s="48">
        <f t="shared" ref="G78:J78" si="11">(G23+G24)-G77</f>
        <v>0</v>
      </c>
      <c r="H78" s="48">
        <f t="shared" si="11"/>
        <v>0</v>
      </c>
      <c r="I78" s="48">
        <f t="shared" si="11"/>
        <v>0</v>
      </c>
      <c r="J78" s="48">
        <f t="shared" si="11"/>
        <v>0</v>
      </c>
    </row>
    <row r="79" spans="2:10" x14ac:dyDescent="0.2">
      <c r="C79" s="22" t="s">
        <v>346</v>
      </c>
      <c r="D79" s="22" t="s">
        <v>397</v>
      </c>
      <c r="E79" s="22" t="s">
        <v>398</v>
      </c>
      <c r="F79" s="49">
        <f>F25</f>
        <v>0</v>
      </c>
      <c r="G79" s="49">
        <f t="shared" ref="G79:J79" si="12">G25</f>
        <v>0</v>
      </c>
      <c r="H79" s="49">
        <f t="shared" si="12"/>
        <v>0</v>
      </c>
      <c r="I79" s="49">
        <f t="shared" si="12"/>
        <v>0</v>
      </c>
      <c r="J79" s="49">
        <f t="shared" si="12"/>
        <v>0</v>
      </c>
    </row>
    <row r="80" spans="2:10" s="34" customFormat="1" x14ac:dyDescent="0.2">
      <c r="B80" s="39"/>
      <c r="C80" s="34" t="s">
        <v>347</v>
      </c>
      <c r="F80" s="48">
        <f>(Aktíva!F4-SUM(F6,F11,F18,F22,F26,F59))-F79</f>
        <v>0</v>
      </c>
      <c r="G80" s="48">
        <f>(Aktíva!G4-SUM(G6,G11,G18,G22,G26,G59))-G79</f>
        <v>0</v>
      </c>
      <c r="H80" s="48">
        <f>(Aktíva!H4-SUM(H6,H11,H18,H22,H26,H59))-H79</f>
        <v>0</v>
      </c>
      <c r="I80" s="48">
        <f>(Aktíva!I4-SUM(I6,I11,I18,I22,I26,I59))-I79</f>
        <v>0</v>
      </c>
      <c r="J80" s="48">
        <f>(Aktíva!J4-SUM(J6,J11,J18,J22,J26,J59))-J79</f>
        <v>0</v>
      </c>
    </row>
    <row r="81" spans="2:10" ht="12.75" customHeight="1" x14ac:dyDescent="0.2">
      <c r="C81" s="22" t="s">
        <v>346</v>
      </c>
      <c r="D81" s="22" t="s">
        <v>399</v>
      </c>
      <c r="E81" s="22" t="s">
        <v>400</v>
      </c>
      <c r="F81" s="49">
        <f>F26</f>
        <v>0</v>
      </c>
      <c r="G81" s="49">
        <f t="shared" ref="G81:J81" si="13">G26</f>
        <v>0</v>
      </c>
      <c r="H81" s="49">
        <f t="shared" si="13"/>
        <v>0</v>
      </c>
      <c r="I81" s="49">
        <f t="shared" si="13"/>
        <v>0</v>
      </c>
      <c r="J81" s="49">
        <f t="shared" si="13"/>
        <v>0</v>
      </c>
    </row>
    <row r="82" spans="2:10" s="34" customFormat="1" x14ac:dyDescent="0.2">
      <c r="B82" s="39"/>
      <c r="C82" s="34" t="s">
        <v>347</v>
      </c>
      <c r="F82" s="48">
        <f>SUM(F27,F32,F44,F55,F56)-F81</f>
        <v>0</v>
      </c>
      <c r="G82" s="48">
        <f t="shared" ref="G82:J82" si="14">SUM(G27,G32,G44,G55,G56)-G81</f>
        <v>0</v>
      </c>
      <c r="H82" s="48">
        <f t="shared" si="14"/>
        <v>0</v>
      </c>
      <c r="I82" s="48">
        <f t="shared" si="14"/>
        <v>0</v>
      </c>
      <c r="J82" s="48">
        <f t="shared" si="14"/>
        <v>0</v>
      </c>
    </row>
    <row r="83" spans="2:10" x14ac:dyDescent="0.2">
      <c r="C83" s="22" t="s">
        <v>346</v>
      </c>
      <c r="D83" s="22" t="s">
        <v>402</v>
      </c>
      <c r="E83" s="22" t="s">
        <v>403</v>
      </c>
      <c r="F83" s="49">
        <f>F27</f>
        <v>0</v>
      </c>
      <c r="G83" s="49">
        <f t="shared" ref="G83:J83" si="15">G27</f>
        <v>0</v>
      </c>
      <c r="H83" s="49">
        <f t="shared" si="15"/>
        <v>0</v>
      </c>
      <c r="I83" s="49">
        <f t="shared" si="15"/>
        <v>0</v>
      </c>
      <c r="J83" s="49">
        <f t="shared" si="15"/>
        <v>0</v>
      </c>
    </row>
    <row r="84" spans="2:10" s="34" customFormat="1" x14ac:dyDescent="0.2">
      <c r="B84" s="39"/>
      <c r="C84" s="34" t="s">
        <v>347</v>
      </c>
      <c r="F84" s="48">
        <f>SUM(F28:F31)-F83</f>
        <v>0</v>
      </c>
      <c r="G84" s="48">
        <f t="shared" ref="G84:J84" si="16">SUM(G28:G31)-G83</f>
        <v>0</v>
      </c>
      <c r="H84" s="48">
        <f t="shared" si="16"/>
        <v>0</v>
      </c>
      <c r="I84" s="48">
        <f t="shared" si="16"/>
        <v>0</v>
      </c>
      <c r="J84" s="48">
        <f t="shared" si="16"/>
        <v>0</v>
      </c>
    </row>
    <row r="85" spans="2:10" x14ac:dyDescent="0.2">
      <c r="C85" s="22" t="s">
        <v>346</v>
      </c>
      <c r="D85" s="22" t="s">
        <v>413</v>
      </c>
      <c r="E85" s="22" t="s">
        <v>414</v>
      </c>
      <c r="F85" s="49">
        <f>F32</f>
        <v>0</v>
      </c>
      <c r="G85" s="49">
        <f t="shared" ref="G85:J85" si="17">G32</f>
        <v>0</v>
      </c>
      <c r="H85" s="49">
        <f t="shared" si="17"/>
        <v>0</v>
      </c>
      <c r="I85" s="49">
        <f t="shared" si="17"/>
        <v>0</v>
      </c>
      <c r="J85" s="49">
        <f t="shared" si="17"/>
        <v>0</v>
      </c>
    </row>
    <row r="86" spans="2:10" s="34" customFormat="1" x14ac:dyDescent="0.2">
      <c r="B86" s="39"/>
      <c r="C86" s="34" t="s">
        <v>347</v>
      </c>
      <c r="F86" s="48">
        <f>SUM(F33:F43)-F85</f>
        <v>0</v>
      </c>
      <c r="G86" s="48">
        <f t="shared" ref="G86:J86" si="18">SUM(G33:G43)-G85</f>
        <v>0</v>
      </c>
      <c r="H86" s="48">
        <f t="shared" si="18"/>
        <v>0</v>
      </c>
      <c r="I86" s="48">
        <f t="shared" si="18"/>
        <v>0</v>
      </c>
      <c r="J86" s="48">
        <f t="shared" si="18"/>
        <v>0</v>
      </c>
    </row>
    <row r="87" spans="2:10" x14ac:dyDescent="0.2">
      <c r="C87" s="22" t="s">
        <v>346</v>
      </c>
      <c r="D87" s="22" t="s">
        <v>441</v>
      </c>
      <c r="E87" s="22" t="s">
        <v>442</v>
      </c>
      <c r="F87" s="49">
        <f>F44</f>
        <v>0</v>
      </c>
      <c r="G87" s="49">
        <f t="shared" ref="G87:J87" si="19">G44</f>
        <v>0</v>
      </c>
      <c r="H87" s="49">
        <f t="shared" si="19"/>
        <v>0</v>
      </c>
      <c r="I87" s="49">
        <f t="shared" si="19"/>
        <v>0</v>
      </c>
      <c r="J87" s="49">
        <f t="shared" si="19"/>
        <v>0</v>
      </c>
    </row>
    <row r="88" spans="2:10" s="34" customFormat="1" x14ac:dyDescent="0.2">
      <c r="B88" s="39"/>
      <c r="C88" s="34" t="s">
        <v>347</v>
      </c>
      <c r="F88" s="48">
        <f>SUM(F45:F54)-F87</f>
        <v>0</v>
      </c>
      <c r="G88" s="48">
        <f t="shared" ref="G88:J88" si="20">SUM(G45:G54)-G87</f>
        <v>0</v>
      </c>
      <c r="H88" s="48">
        <f t="shared" si="20"/>
        <v>0</v>
      </c>
      <c r="I88" s="48">
        <f t="shared" si="20"/>
        <v>0</v>
      </c>
      <c r="J88" s="48">
        <f t="shared" si="20"/>
        <v>0</v>
      </c>
    </row>
    <row r="89" spans="2:10" x14ac:dyDescent="0.2">
      <c r="C89" s="22" t="s">
        <v>346</v>
      </c>
      <c r="D89" s="22" t="s">
        <v>467</v>
      </c>
      <c r="E89" s="22" t="s">
        <v>468</v>
      </c>
      <c r="F89" s="49">
        <f>F56</f>
        <v>0</v>
      </c>
      <c r="G89" s="49">
        <f t="shared" ref="G89:J89" si="21">G56</f>
        <v>0</v>
      </c>
      <c r="H89" s="49">
        <f t="shared" si="21"/>
        <v>0</v>
      </c>
      <c r="I89" s="49">
        <f t="shared" si="21"/>
        <v>0</v>
      </c>
      <c r="J89" s="49">
        <f t="shared" si="21"/>
        <v>0</v>
      </c>
    </row>
    <row r="90" spans="2:10" s="34" customFormat="1" x14ac:dyDescent="0.2">
      <c r="B90" s="39"/>
      <c r="C90" s="34" t="s">
        <v>347</v>
      </c>
      <c r="F90" s="48">
        <f>SUM(F57:F58)-F89</f>
        <v>0</v>
      </c>
      <c r="G90" s="48">
        <f t="shared" ref="G90:J90" si="22">SUM(G57:G58)-G89</f>
        <v>0</v>
      </c>
      <c r="H90" s="48">
        <f t="shared" si="22"/>
        <v>0</v>
      </c>
      <c r="I90" s="48">
        <f t="shared" si="22"/>
        <v>0</v>
      </c>
      <c r="J90" s="48">
        <f t="shared" si="22"/>
        <v>0</v>
      </c>
    </row>
    <row r="91" spans="2:10" x14ac:dyDescent="0.2">
      <c r="C91" s="22" t="s">
        <v>346</v>
      </c>
      <c r="D91" s="22" t="s">
        <v>474</v>
      </c>
      <c r="E91" s="22" t="s">
        <v>475</v>
      </c>
      <c r="F91" s="49">
        <f>F59</f>
        <v>0</v>
      </c>
      <c r="G91" s="49">
        <f t="shared" ref="G91:J91" si="23">G59</f>
        <v>0</v>
      </c>
      <c r="H91" s="49">
        <f t="shared" si="23"/>
        <v>0</v>
      </c>
      <c r="I91" s="49">
        <f t="shared" si="23"/>
        <v>0</v>
      </c>
      <c r="J91" s="49">
        <f t="shared" si="23"/>
        <v>0</v>
      </c>
    </row>
    <row r="92" spans="2:10" s="34" customFormat="1" x14ac:dyDescent="0.2">
      <c r="B92" s="39"/>
      <c r="C92" s="34" t="s">
        <v>347</v>
      </c>
      <c r="F92" s="48">
        <f>SUM(F60:F63)-F59</f>
        <v>0</v>
      </c>
      <c r="G92" s="48">
        <f t="shared" ref="G92:J92" si="24">SUM(G60:G63)-G59</f>
        <v>0</v>
      </c>
      <c r="H92" s="48">
        <f t="shared" si="24"/>
        <v>0</v>
      </c>
      <c r="I92" s="48">
        <f t="shared" si="24"/>
        <v>0</v>
      </c>
      <c r="J92" s="48">
        <f t="shared" si="24"/>
        <v>0</v>
      </c>
    </row>
  </sheetData>
  <autoFilter ref="B3:K63" xr:uid="{00000000-0009-0000-0000-000016000000}"/>
  <pageMargins left="0.7" right="0.7" top="0.75" bottom="0.75" header="0.3" footer="0.3"/>
  <pageSetup paperSize="9" orientation="portrait" r:id="rId1"/>
  <headerFooter>
    <oddFooter>&amp;C&amp;7&amp;B&amp;"Arial"Document Classification: KPMG Confidential</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2" tint="-0.499984740745262"/>
  </sheetPr>
  <dimension ref="A1:O77"/>
  <sheetViews>
    <sheetView showGridLines="0" topLeftCell="B1" zoomScaleNormal="100" workbookViewId="0">
      <selection activeCell="H20" sqref="H20"/>
    </sheetView>
  </sheetViews>
  <sheetFormatPr defaultColWidth="20" defaultRowHeight="12" outlineLevelCol="1" x14ac:dyDescent="0.2"/>
  <cols>
    <col min="1" max="1" width="10.28515625" style="22" customWidth="1" outlineLevel="1"/>
    <col min="2" max="2" width="10.28515625" style="23" customWidth="1" outlineLevel="1"/>
    <col min="3" max="3" width="10.28515625" style="22" customWidth="1"/>
    <col min="4" max="4" width="46" style="22" customWidth="1"/>
    <col min="5" max="5" width="12" style="22" customWidth="1"/>
    <col min="6" max="10" width="24" style="22" customWidth="1"/>
    <col min="11" max="16384" width="20" style="22"/>
  </cols>
  <sheetData>
    <row r="1" spans="1:15" x14ac:dyDescent="0.2">
      <c r="C1" s="37" t="str">
        <f>CONCATENATE("Firma:"," ",Aktíva!D1)</f>
        <v>Firma: XXY s.r.o.</v>
      </c>
      <c r="D1" s="26"/>
      <c r="E1" s="26"/>
      <c r="F1" s="26"/>
      <c r="G1" s="40" t="s">
        <v>484</v>
      </c>
      <c r="H1" s="41" t="s">
        <v>485</v>
      </c>
      <c r="I1" s="26"/>
      <c r="J1" s="26"/>
    </row>
    <row r="2" spans="1:15" x14ac:dyDescent="0.2">
      <c r="A2" s="46" t="s">
        <v>18</v>
      </c>
      <c r="B2" s="46"/>
      <c r="C2" s="26"/>
      <c r="D2" s="42"/>
      <c r="E2" s="26"/>
      <c r="F2" s="26"/>
      <c r="G2" s="26"/>
      <c r="H2" s="26"/>
      <c r="I2" s="26"/>
      <c r="J2" s="26"/>
      <c r="K2" s="26"/>
      <c r="L2" s="26"/>
      <c r="M2" s="26"/>
    </row>
    <row r="3" spans="1:15" x14ac:dyDescent="0.2">
      <c r="A3" s="188" t="s">
        <v>160</v>
      </c>
      <c r="B3" s="188" t="s">
        <v>42</v>
      </c>
      <c r="C3" s="188" t="s">
        <v>161</v>
      </c>
      <c r="D3" s="188" t="s">
        <v>44</v>
      </c>
      <c r="E3" s="188" t="s">
        <v>163</v>
      </c>
      <c r="F3" s="188" t="str">
        <f>Pasíva!F3</f>
        <v>FY23</v>
      </c>
      <c r="G3" s="188" t="str">
        <f>Pasíva!G3</f>
        <v>FY22</v>
      </c>
      <c r="H3" s="188" t="str">
        <f>Pasíva!H3</f>
        <v>FY21</v>
      </c>
      <c r="I3" s="188" t="str">
        <f>Pasíva!I3</f>
        <v>FY20</v>
      </c>
      <c r="J3" s="188" t="str">
        <f>Pasíva!J3</f>
        <v>FY19</v>
      </c>
      <c r="K3" s="188" t="str">
        <f>F3</f>
        <v>FY23</v>
      </c>
      <c r="L3" s="188" t="str">
        <f>G3</f>
        <v>FY22</v>
      </c>
      <c r="M3" s="188" t="str">
        <f>H3</f>
        <v>FY21</v>
      </c>
      <c r="N3" s="188" t="str">
        <f>I3</f>
        <v>FY20</v>
      </c>
      <c r="O3" s="188" t="str">
        <f>J3</f>
        <v>FY19</v>
      </c>
    </row>
    <row r="4" spans="1:15" ht="15" x14ac:dyDescent="0.25">
      <c r="A4" s="30">
        <v>1</v>
      </c>
      <c r="B4" s="31">
        <v>1</v>
      </c>
      <c r="C4" s="22" t="s">
        <v>486</v>
      </c>
      <c r="D4" s="22" t="s">
        <v>487</v>
      </c>
      <c r="E4" s="22" t="s">
        <v>165</v>
      </c>
      <c r="F4" s="699"/>
      <c r="G4" s="699"/>
      <c r="H4" s="699"/>
      <c r="I4" s="699"/>
      <c r="J4" s="699"/>
      <c r="K4" s="38">
        <f>+F4</f>
        <v>0</v>
      </c>
      <c r="L4" s="38">
        <f>+G4</f>
        <v>0</v>
      </c>
      <c r="M4" s="38">
        <f>+H4</f>
        <v>0</v>
      </c>
      <c r="N4" s="38">
        <f>+I4</f>
        <v>0</v>
      </c>
      <c r="O4" s="38">
        <f>+J4</f>
        <v>0</v>
      </c>
    </row>
    <row r="5" spans="1:15" ht="15" x14ac:dyDescent="0.25">
      <c r="A5" s="30">
        <v>3</v>
      </c>
      <c r="B5" s="31">
        <v>4</v>
      </c>
      <c r="C5" s="22" t="s">
        <v>166</v>
      </c>
      <c r="D5" s="22" t="s">
        <v>49</v>
      </c>
      <c r="E5" s="22" t="s">
        <v>168</v>
      </c>
      <c r="F5" s="699"/>
      <c r="G5" s="699"/>
      <c r="H5" s="699"/>
      <c r="I5" s="699"/>
      <c r="J5" s="699"/>
      <c r="K5" s="38">
        <f>-F5</f>
        <v>0</v>
      </c>
      <c r="L5" s="38">
        <f>-G5</f>
        <v>0</v>
      </c>
      <c r="M5" s="38">
        <f>-H5</f>
        <v>0</v>
      </c>
      <c r="N5" s="38">
        <f>-I5</f>
        <v>0</v>
      </c>
      <c r="O5" s="38">
        <f>-J5</f>
        <v>0</v>
      </c>
    </row>
    <row r="6" spans="1:15" ht="15" x14ac:dyDescent="0.25">
      <c r="A6" s="30"/>
      <c r="B6" s="31"/>
      <c r="C6" s="22" t="s">
        <v>488</v>
      </c>
      <c r="D6" s="22" t="s">
        <v>489</v>
      </c>
      <c r="E6" s="22" t="s">
        <v>171</v>
      </c>
      <c r="F6" s="699"/>
      <c r="G6" s="699"/>
      <c r="H6" s="699"/>
      <c r="I6" s="699"/>
      <c r="J6" s="699"/>
    </row>
    <row r="7" spans="1:15" ht="15" x14ac:dyDescent="0.25">
      <c r="A7" s="30"/>
      <c r="B7" s="31"/>
      <c r="C7" s="22" t="s">
        <v>490</v>
      </c>
      <c r="D7" s="22" t="s">
        <v>491</v>
      </c>
      <c r="E7" s="22" t="s">
        <v>174</v>
      </c>
      <c r="F7" s="699"/>
      <c r="G7" s="699"/>
      <c r="H7" s="699"/>
      <c r="I7" s="699"/>
      <c r="J7" s="699"/>
      <c r="K7" s="38">
        <f t="shared" ref="K7:O10" si="0">+F7</f>
        <v>0</v>
      </c>
      <c r="L7" s="38">
        <f t="shared" si="0"/>
        <v>0</v>
      </c>
      <c r="M7" s="38">
        <f t="shared" si="0"/>
        <v>0</v>
      </c>
      <c r="N7" s="38">
        <f t="shared" si="0"/>
        <v>0</v>
      </c>
      <c r="O7" s="38">
        <f t="shared" si="0"/>
        <v>0</v>
      </c>
    </row>
    <row r="8" spans="1:15" ht="15" x14ac:dyDescent="0.25">
      <c r="A8" s="30">
        <v>2</v>
      </c>
      <c r="B8" s="31">
        <v>2</v>
      </c>
      <c r="C8" s="22" t="s">
        <v>492</v>
      </c>
      <c r="D8" s="22" t="s">
        <v>493</v>
      </c>
      <c r="E8" s="22" t="s">
        <v>176</v>
      </c>
      <c r="F8" s="699"/>
      <c r="G8" s="699"/>
      <c r="H8" s="699"/>
      <c r="I8" s="699"/>
      <c r="J8" s="699"/>
      <c r="K8" s="38">
        <f t="shared" si="0"/>
        <v>0</v>
      </c>
      <c r="L8" s="38">
        <f t="shared" si="0"/>
        <v>0</v>
      </c>
      <c r="M8" s="38">
        <f t="shared" si="0"/>
        <v>0</v>
      </c>
      <c r="N8" s="38">
        <f t="shared" si="0"/>
        <v>0</v>
      </c>
      <c r="O8" s="38">
        <f t="shared" si="0"/>
        <v>0</v>
      </c>
    </row>
    <row r="9" spans="1:15" ht="15" x14ac:dyDescent="0.25">
      <c r="A9" s="30" t="s">
        <v>605</v>
      </c>
      <c r="B9" s="31">
        <v>7</v>
      </c>
      <c r="C9" s="22" t="s">
        <v>494</v>
      </c>
      <c r="D9" s="22" t="s">
        <v>495</v>
      </c>
      <c r="E9" s="22" t="s">
        <v>178</v>
      </c>
      <c r="F9" s="699"/>
      <c r="G9" s="699"/>
      <c r="H9" s="699"/>
      <c r="I9" s="699"/>
      <c r="J9" s="699"/>
      <c r="K9" s="38">
        <f t="shared" si="0"/>
        <v>0</v>
      </c>
      <c r="L9" s="38">
        <f t="shared" si="0"/>
        <v>0</v>
      </c>
      <c r="M9" s="38">
        <f t="shared" si="0"/>
        <v>0</v>
      </c>
      <c r="N9" s="38">
        <f t="shared" si="0"/>
        <v>0</v>
      </c>
      <c r="O9" s="38">
        <f t="shared" si="0"/>
        <v>0</v>
      </c>
    </row>
    <row r="10" spans="1:15" ht="15" x14ac:dyDescent="0.25">
      <c r="A10" s="30" t="s">
        <v>606</v>
      </c>
      <c r="B10" s="31">
        <v>8</v>
      </c>
      <c r="C10" s="22" t="s">
        <v>496</v>
      </c>
      <c r="D10" s="22" t="s">
        <v>497</v>
      </c>
      <c r="E10" s="22" t="s">
        <v>180</v>
      </c>
      <c r="F10" s="699"/>
      <c r="G10" s="699"/>
      <c r="H10" s="699"/>
      <c r="I10" s="699"/>
      <c r="J10" s="699"/>
      <c r="K10" s="38">
        <f t="shared" si="0"/>
        <v>0</v>
      </c>
      <c r="L10" s="38">
        <f t="shared" si="0"/>
        <v>0</v>
      </c>
      <c r="M10" s="38">
        <f t="shared" si="0"/>
        <v>0</v>
      </c>
      <c r="N10" s="38">
        <f t="shared" si="0"/>
        <v>0</v>
      </c>
      <c r="O10" s="38">
        <f t="shared" si="0"/>
        <v>0</v>
      </c>
    </row>
    <row r="11" spans="1:15" ht="15" x14ac:dyDescent="0.25">
      <c r="A11" s="30"/>
      <c r="B11" s="31"/>
      <c r="C11" s="22" t="s">
        <v>244</v>
      </c>
      <c r="D11" s="22" t="s">
        <v>498</v>
      </c>
      <c r="E11" s="22" t="s">
        <v>183</v>
      </c>
      <c r="F11" s="699"/>
      <c r="G11" s="699"/>
      <c r="H11" s="699"/>
      <c r="I11" s="699"/>
      <c r="J11" s="699"/>
      <c r="K11" s="38">
        <f t="shared" ref="K11:O13" si="1">-F11</f>
        <v>0</v>
      </c>
      <c r="L11" s="38">
        <f t="shared" si="1"/>
        <v>0</v>
      </c>
      <c r="M11" s="38">
        <f t="shared" si="1"/>
        <v>0</v>
      </c>
      <c r="N11" s="38">
        <f t="shared" si="1"/>
        <v>0</v>
      </c>
      <c r="O11" s="38">
        <f t="shared" si="1"/>
        <v>0</v>
      </c>
    </row>
    <row r="12" spans="1:15" ht="15" x14ac:dyDescent="0.25">
      <c r="A12" s="30">
        <v>4</v>
      </c>
      <c r="B12" s="31">
        <v>5</v>
      </c>
      <c r="C12" s="22" t="s">
        <v>499</v>
      </c>
      <c r="D12" s="22" t="s">
        <v>51</v>
      </c>
      <c r="E12" s="22" t="s">
        <v>186</v>
      </c>
      <c r="F12" s="699"/>
      <c r="G12" s="699"/>
      <c r="H12" s="699"/>
      <c r="I12" s="699"/>
      <c r="J12" s="699"/>
      <c r="K12" s="38">
        <f t="shared" si="1"/>
        <v>0</v>
      </c>
      <c r="L12" s="38">
        <f t="shared" si="1"/>
        <v>0</v>
      </c>
      <c r="M12" s="38">
        <f t="shared" si="1"/>
        <v>0</v>
      </c>
      <c r="N12" s="38">
        <f t="shared" si="1"/>
        <v>0</v>
      </c>
      <c r="O12" s="38">
        <f t="shared" si="1"/>
        <v>0</v>
      </c>
    </row>
    <row r="13" spans="1:15" ht="15" x14ac:dyDescent="0.25">
      <c r="A13" s="30">
        <v>6</v>
      </c>
      <c r="B13" s="31">
        <v>6</v>
      </c>
      <c r="C13" s="22" t="s">
        <v>500</v>
      </c>
      <c r="D13" s="22" t="s">
        <v>53</v>
      </c>
      <c r="E13" s="22" t="s">
        <v>189</v>
      </c>
      <c r="F13" s="699"/>
      <c r="G13" s="699"/>
      <c r="H13" s="699"/>
      <c r="I13" s="699"/>
      <c r="J13" s="699"/>
      <c r="K13" s="38">
        <f t="shared" si="1"/>
        <v>0</v>
      </c>
      <c r="L13" s="38">
        <f t="shared" si="1"/>
        <v>0</v>
      </c>
      <c r="M13" s="38">
        <f t="shared" si="1"/>
        <v>0</v>
      </c>
      <c r="N13" s="38">
        <f t="shared" si="1"/>
        <v>0</v>
      </c>
      <c r="O13" s="38">
        <f t="shared" si="1"/>
        <v>0</v>
      </c>
    </row>
    <row r="14" spans="1:15" ht="15" x14ac:dyDescent="0.25">
      <c r="A14" s="30"/>
      <c r="B14" s="31"/>
      <c r="C14" s="22" t="s">
        <v>488</v>
      </c>
      <c r="D14" s="22" t="s">
        <v>501</v>
      </c>
      <c r="E14" s="22" t="s">
        <v>192</v>
      </c>
      <c r="F14" s="699"/>
      <c r="G14" s="699"/>
      <c r="H14" s="699"/>
      <c r="I14" s="699"/>
      <c r="J14" s="699"/>
    </row>
    <row r="15" spans="1:15" ht="15" x14ac:dyDescent="0.25">
      <c r="A15" s="30">
        <v>8</v>
      </c>
      <c r="B15" s="31"/>
      <c r="C15" s="22" t="s">
        <v>331</v>
      </c>
      <c r="D15" s="22" t="s">
        <v>502</v>
      </c>
      <c r="E15" s="22" t="s">
        <v>194</v>
      </c>
      <c r="F15" s="699"/>
      <c r="G15" s="699"/>
      <c r="H15" s="699"/>
      <c r="I15" s="699"/>
      <c r="J15" s="699"/>
      <c r="K15" s="38">
        <f t="shared" ref="K15:O21" si="2">-F15</f>
        <v>0</v>
      </c>
      <c r="L15" s="38">
        <f t="shared" si="2"/>
        <v>0</v>
      </c>
      <c r="M15" s="38">
        <f t="shared" si="2"/>
        <v>0</v>
      </c>
      <c r="N15" s="38">
        <f t="shared" si="2"/>
        <v>0</v>
      </c>
      <c r="O15" s="38">
        <f t="shared" si="2"/>
        <v>0</v>
      </c>
    </row>
    <row r="16" spans="1:15" ht="15" x14ac:dyDescent="0.25">
      <c r="A16" s="30"/>
      <c r="B16" s="31">
        <v>9</v>
      </c>
      <c r="C16" s="22" t="s">
        <v>334</v>
      </c>
      <c r="D16" s="22" t="s">
        <v>503</v>
      </c>
      <c r="E16" s="22" t="s">
        <v>196</v>
      </c>
      <c r="F16" s="699"/>
      <c r="G16" s="699"/>
      <c r="H16" s="699"/>
      <c r="I16" s="699"/>
      <c r="J16" s="699"/>
      <c r="K16" s="38">
        <f t="shared" si="2"/>
        <v>0</v>
      </c>
      <c r="L16" s="38">
        <f t="shared" si="2"/>
        <v>0</v>
      </c>
      <c r="M16" s="38">
        <f t="shared" si="2"/>
        <v>0</v>
      </c>
      <c r="N16" s="38">
        <f t="shared" si="2"/>
        <v>0</v>
      </c>
      <c r="O16" s="38">
        <f t="shared" si="2"/>
        <v>0</v>
      </c>
    </row>
    <row r="17" spans="1:15" ht="15" x14ac:dyDescent="0.25">
      <c r="A17" s="30"/>
      <c r="B17" s="31">
        <v>10</v>
      </c>
      <c r="C17" s="22" t="s">
        <v>337</v>
      </c>
      <c r="D17" s="22" t="s">
        <v>504</v>
      </c>
      <c r="E17" s="22" t="s">
        <v>198</v>
      </c>
      <c r="F17" s="699"/>
      <c r="G17" s="699"/>
      <c r="H17" s="699"/>
      <c r="I17" s="699"/>
      <c r="J17" s="699"/>
      <c r="K17" s="38">
        <f t="shared" si="2"/>
        <v>0</v>
      </c>
      <c r="L17" s="38">
        <f t="shared" si="2"/>
        <v>0</v>
      </c>
      <c r="M17" s="38">
        <f t="shared" si="2"/>
        <v>0</v>
      </c>
      <c r="N17" s="38">
        <f t="shared" si="2"/>
        <v>0</v>
      </c>
      <c r="O17" s="38">
        <f t="shared" si="2"/>
        <v>0</v>
      </c>
    </row>
    <row r="18" spans="1:15" ht="15" x14ac:dyDescent="0.25">
      <c r="A18" s="30"/>
      <c r="B18" s="31">
        <v>11</v>
      </c>
      <c r="C18" s="22" t="s">
        <v>340</v>
      </c>
      <c r="D18" s="22" t="s">
        <v>505</v>
      </c>
      <c r="E18" s="22" t="s">
        <v>201</v>
      </c>
      <c r="F18" s="699"/>
      <c r="G18" s="699"/>
      <c r="H18" s="699"/>
      <c r="I18" s="699"/>
      <c r="J18" s="699"/>
      <c r="K18" s="38">
        <f t="shared" si="2"/>
        <v>0</v>
      </c>
      <c r="L18" s="38">
        <f t="shared" si="2"/>
        <v>0</v>
      </c>
      <c r="M18" s="38">
        <f t="shared" si="2"/>
        <v>0</v>
      </c>
      <c r="N18" s="38">
        <f t="shared" si="2"/>
        <v>0</v>
      </c>
      <c r="O18" s="38">
        <f t="shared" si="2"/>
        <v>0</v>
      </c>
    </row>
    <row r="19" spans="1:15" ht="15" x14ac:dyDescent="0.25">
      <c r="A19" s="30"/>
      <c r="B19" s="31">
        <v>12</v>
      </c>
      <c r="C19" s="22" t="s">
        <v>343</v>
      </c>
      <c r="D19" s="22" t="s">
        <v>506</v>
      </c>
      <c r="E19" s="22" t="s">
        <v>204</v>
      </c>
      <c r="F19" s="699"/>
      <c r="G19" s="699"/>
      <c r="H19" s="699"/>
      <c r="I19" s="699"/>
      <c r="J19" s="699"/>
      <c r="K19" s="38">
        <f t="shared" si="2"/>
        <v>0</v>
      </c>
      <c r="L19" s="38">
        <f t="shared" si="2"/>
        <v>0</v>
      </c>
      <c r="M19" s="38">
        <f t="shared" si="2"/>
        <v>0</v>
      </c>
      <c r="N19" s="38">
        <f t="shared" si="2"/>
        <v>0</v>
      </c>
      <c r="O19" s="38">
        <f t="shared" si="2"/>
        <v>0</v>
      </c>
    </row>
    <row r="20" spans="1:15" ht="15" x14ac:dyDescent="0.25">
      <c r="A20" s="30">
        <v>10</v>
      </c>
      <c r="B20" s="31">
        <v>13</v>
      </c>
      <c r="C20" s="22" t="s">
        <v>507</v>
      </c>
      <c r="D20" s="22" t="s">
        <v>68</v>
      </c>
      <c r="E20" s="22" t="s">
        <v>207</v>
      </c>
      <c r="F20" s="699"/>
      <c r="G20" s="699"/>
      <c r="H20" s="699"/>
      <c r="I20" s="699"/>
      <c r="J20" s="699"/>
      <c r="K20" s="38">
        <f t="shared" si="2"/>
        <v>0</v>
      </c>
      <c r="L20" s="38">
        <f t="shared" si="2"/>
        <v>0</v>
      </c>
      <c r="M20" s="38">
        <f t="shared" si="2"/>
        <v>0</v>
      </c>
      <c r="N20" s="38">
        <f t="shared" si="2"/>
        <v>0</v>
      </c>
      <c r="O20" s="38">
        <f t="shared" si="2"/>
        <v>0</v>
      </c>
    </row>
    <row r="21" spans="1:15" ht="15" x14ac:dyDescent="0.25">
      <c r="A21" s="30">
        <v>20</v>
      </c>
      <c r="B21" s="31">
        <v>30</v>
      </c>
      <c r="C21" s="22" t="s">
        <v>508</v>
      </c>
      <c r="D21" s="22" t="s">
        <v>509</v>
      </c>
      <c r="E21" s="22" t="s">
        <v>210</v>
      </c>
      <c r="F21" s="699"/>
      <c r="G21" s="699"/>
      <c r="H21" s="699"/>
      <c r="I21" s="699"/>
      <c r="J21" s="699"/>
      <c r="K21" s="38">
        <f t="shared" si="2"/>
        <v>0</v>
      </c>
      <c r="L21" s="38">
        <f t="shared" si="2"/>
        <v>0</v>
      </c>
      <c r="M21" s="38">
        <f t="shared" si="2"/>
        <v>0</v>
      </c>
      <c r="N21" s="38">
        <f t="shared" si="2"/>
        <v>0</v>
      </c>
      <c r="O21" s="38">
        <f t="shared" si="2"/>
        <v>0</v>
      </c>
    </row>
    <row r="22" spans="1:15" ht="15" x14ac:dyDescent="0.25">
      <c r="A22" s="30">
        <v>14</v>
      </c>
      <c r="B22" s="31">
        <v>32</v>
      </c>
      <c r="C22" s="22" t="s">
        <v>510</v>
      </c>
      <c r="D22" s="22" t="s">
        <v>511</v>
      </c>
      <c r="E22" s="22" t="s">
        <v>213</v>
      </c>
      <c r="F22" s="699"/>
      <c r="G22" s="699"/>
      <c r="H22" s="699"/>
      <c r="I22" s="699"/>
      <c r="J22" s="699"/>
      <c r="K22" s="38">
        <f>+F22</f>
        <v>0</v>
      </c>
      <c r="L22" s="38">
        <f>+G22</f>
        <v>0</v>
      </c>
      <c r="M22" s="38">
        <f>+H22</f>
        <v>0</v>
      </c>
      <c r="N22" s="38">
        <f>+I22</f>
        <v>0</v>
      </c>
      <c r="O22" s="38">
        <f>+J22</f>
        <v>0</v>
      </c>
    </row>
    <row r="23" spans="1:15" ht="15" x14ac:dyDescent="0.25">
      <c r="A23" s="30">
        <v>13</v>
      </c>
      <c r="B23" s="31">
        <v>31</v>
      </c>
      <c r="C23" s="22" t="s">
        <v>512</v>
      </c>
      <c r="D23" s="22" t="s">
        <v>513</v>
      </c>
      <c r="E23" s="22" t="s">
        <v>216</v>
      </c>
      <c r="F23" s="699"/>
      <c r="G23" s="699"/>
      <c r="H23" s="699"/>
      <c r="I23" s="699"/>
      <c r="J23" s="699"/>
      <c r="K23" s="38">
        <f t="shared" ref="K23:M24" si="3">-F23</f>
        <v>0</v>
      </c>
      <c r="L23" s="38">
        <f t="shared" si="3"/>
        <v>0</v>
      </c>
      <c r="M23" s="38">
        <f t="shared" si="3"/>
        <v>0</v>
      </c>
      <c r="N23" s="38">
        <f>-I23</f>
        <v>0</v>
      </c>
      <c r="O23" s="38">
        <f>-J23</f>
        <v>0</v>
      </c>
    </row>
    <row r="24" spans="1:15" ht="15" x14ac:dyDescent="0.25">
      <c r="A24" s="30">
        <v>12</v>
      </c>
      <c r="B24" s="31">
        <v>21</v>
      </c>
      <c r="C24" s="22" t="s">
        <v>514</v>
      </c>
      <c r="D24" s="22" t="s">
        <v>515</v>
      </c>
      <c r="E24" s="22" t="s">
        <v>219</v>
      </c>
      <c r="F24" s="699"/>
      <c r="G24" s="699"/>
      <c r="H24" s="699"/>
      <c r="I24" s="699"/>
      <c r="J24" s="699"/>
      <c r="K24" s="38">
        <f t="shared" si="3"/>
        <v>0</v>
      </c>
      <c r="L24" s="38">
        <f t="shared" si="3"/>
        <v>0</v>
      </c>
      <c r="M24" s="38">
        <f t="shared" si="3"/>
        <v>0</v>
      </c>
      <c r="N24" s="38">
        <f>-I24</f>
        <v>0</v>
      </c>
      <c r="O24" s="38">
        <f>-J24</f>
        <v>0</v>
      </c>
    </row>
    <row r="25" spans="1:15" ht="15" x14ac:dyDescent="0.25">
      <c r="A25" s="30">
        <v>12</v>
      </c>
      <c r="B25" s="31">
        <v>20</v>
      </c>
      <c r="C25" s="22" t="s">
        <v>516</v>
      </c>
      <c r="D25" s="22" t="s">
        <v>517</v>
      </c>
      <c r="E25" s="22" t="s">
        <v>222</v>
      </c>
      <c r="F25" s="699"/>
      <c r="G25" s="699"/>
      <c r="H25" s="699"/>
      <c r="I25" s="699"/>
      <c r="J25" s="699"/>
      <c r="K25" s="38">
        <f>+F25</f>
        <v>0</v>
      </c>
      <c r="L25" s="38">
        <f>+G25</f>
        <v>0</v>
      </c>
      <c r="M25" s="38">
        <f>+H25</f>
        <v>0</v>
      </c>
      <c r="N25" s="38">
        <f>+I25</f>
        <v>0</v>
      </c>
      <c r="O25" s="38">
        <f>+J25</f>
        <v>0</v>
      </c>
    </row>
    <row r="26" spans="1:15" ht="12" customHeight="1" x14ac:dyDescent="0.25">
      <c r="A26" s="30">
        <v>12</v>
      </c>
      <c r="B26" s="31">
        <v>21</v>
      </c>
      <c r="C26" s="22" t="s">
        <v>518</v>
      </c>
      <c r="D26" s="22" t="s">
        <v>519</v>
      </c>
      <c r="E26" s="22" t="s">
        <v>225</v>
      </c>
      <c r="F26" s="699"/>
      <c r="G26" s="699"/>
      <c r="H26" s="699"/>
      <c r="I26" s="699"/>
      <c r="J26" s="699"/>
      <c r="K26" s="38">
        <f t="shared" ref="K26:O28" si="4">-F26</f>
        <v>0</v>
      </c>
      <c r="L26" s="38">
        <f t="shared" si="4"/>
        <v>0</v>
      </c>
      <c r="M26" s="38">
        <f t="shared" si="4"/>
        <v>0</v>
      </c>
      <c r="N26" s="38">
        <f t="shared" si="4"/>
        <v>0</v>
      </c>
      <c r="O26" s="38">
        <f t="shared" si="4"/>
        <v>0</v>
      </c>
    </row>
    <row r="27" spans="1:15" ht="12" customHeight="1" x14ac:dyDescent="0.25">
      <c r="A27" s="30">
        <v>12</v>
      </c>
      <c r="B27" s="31">
        <v>20</v>
      </c>
      <c r="C27" s="22" t="s">
        <v>520</v>
      </c>
      <c r="D27" s="22" t="s">
        <v>521</v>
      </c>
      <c r="E27" s="22" t="s">
        <v>228</v>
      </c>
      <c r="F27" s="700"/>
      <c r="G27" s="700"/>
      <c r="H27" s="700"/>
      <c r="I27" s="700"/>
      <c r="J27" s="700"/>
      <c r="K27" s="38">
        <f t="shared" si="4"/>
        <v>0</v>
      </c>
      <c r="L27" s="38">
        <f t="shared" si="4"/>
        <v>0</v>
      </c>
      <c r="M27" s="38">
        <f t="shared" si="4"/>
        <v>0</v>
      </c>
      <c r="N27" s="38">
        <f t="shared" si="4"/>
        <v>0</v>
      </c>
      <c r="O27" s="38">
        <f t="shared" si="4"/>
        <v>0</v>
      </c>
    </row>
    <row r="28" spans="1:15" ht="12" customHeight="1" x14ac:dyDescent="0.25">
      <c r="A28" s="30">
        <v>12</v>
      </c>
      <c r="B28" s="31">
        <v>21</v>
      </c>
      <c r="C28" s="22" t="s">
        <v>522</v>
      </c>
      <c r="D28" s="22" t="s">
        <v>523</v>
      </c>
      <c r="E28" s="22" t="s">
        <v>231</v>
      </c>
      <c r="F28" s="700"/>
      <c r="G28" s="700"/>
      <c r="H28" s="700"/>
      <c r="I28" s="700"/>
      <c r="J28" s="700"/>
      <c r="K28" s="38">
        <f t="shared" si="4"/>
        <v>0</v>
      </c>
      <c r="L28" s="38">
        <f t="shared" si="4"/>
        <v>0</v>
      </c>
      <c r="M28" s="38">
        <f t="shared" si="4"/>
        <v>0</v>
      </c>
      <c r="N28" s="38">
        <f t="shared" si="4"/>
        <v>0</v>
      </c>
      <c r="O28" s="38">
        <f t="shared" si="4"/>
        <v>0</v>
      </c>
    </row>
    <row r="29" spans="1:15" ht="15" x14ac:dyDescent="0.25">
      <c r="A29" s="30"/>
      <c r="B29" s="31"/>
      <c r="C29" s="22" t="s">
        <v>524</v>
      </c>
      <c r="D29" s="22" t="s">
        <v>525</v>
      </c>
      <c r="E29" s="22" t="s">
        <v>234</v>
      </c>
      <c r="F29" s="699"/>
      <c r="G29" s="699"/>
      <c r="H29" s="699"/>
      <c r="I29" s="699"/>
      <c r="J29" s="699"/>
    </row>
    <row r="30" spans="1:15" ht="15" x14ac:dyDescent="0.25">
      <c r="A30" s="30">
        <v>17</v>
      </c>
      <c r="B30" s="31">
        <v>18</v>
      </c>
      <c r="C30" s="22" t="s">
        <v>526</v>
      </c>
      <c r="D30" s="22" t="s">
        <v>527</v>
      </c>
      <c r="E30" s="22" t="s">
        <v>237</v>
      </c>
      <c r="F30" s="699"/>
      <c r="G30" s="699"/>
      <c r="H30" s="699"/>
      <c r="I30" s="699"/>
      <c r="J30" s="699"/>
      <c r="K30" s="38">
        <f>+F30</f>
        <v>0</v>
      </c>
      <c r="L30" s="38">
        <f>+G30</f>
        <v>0</v>
      </c>
      <c r="M30" s="38">
        <f>+H30</f>
        <v>0</v>
      </c>
      <c r="N30" s="38">
        <f>+I30</f>
        <v>0</v>
      </c>
      <c r="O30" s="38">
        <f>+J30</f>
        <v>0</v>
      </c>
    </row>
    <row r="31" spans="1:15" ht="15" x14ac:dyDescent="0.25">
      <c r="A31" s="30">
        <v>17</v>
      </c>
      <c r="B31" s="31">
        <v>19</v>
      </c>
      <c r="C31" s="22" t="s">
        <v>528</v>
      </c>
      <c r="D31" s="22" t="s">
        <v>529</v>
      </c>
      <c r="E31" s="22" t="s">
        <v>240</v>
      </c>
      <c r="F31" s="699"/>
      <c r="G31" s="699"/>
      <c r="H31" s="699"/>
      <c r="I31" s="699"/>
      <c r="J31" s="699"/>
      <c r="K31" s="38">
        <f>-F31</f>
        <v>0</v>
      </c>
      <c r="L31" s="38">
        <f>-G31</f>
        <v>0</v>
      </c>
      <c r="M31" s="38">
        <f>-H31</f>
        <v>0</v>
      </c>
      <c r="N31" s="38">
        <f>-I31</f>
        <v>0</v>
      </c>
      <c r="O31" s="38">
        <f>-J31</f>
        <v>0</v>
      </c>
    </row>
    <row r="32" spans="1:15" ht="15" x14ac:dyDescent="0.25">
      <c r="A32" s="30">
        <v>16</v>
      </c>
      <c r="B32" s="31">
        <v>16</v>
      </c>
      <c r="C32" s="22" t="s">
        <v>530</v>
      </c>
      <c r="D32" s="22" t="s">
        <v>531</v>
      </c>
      <c r="E32" s="22" t="s">
        <v>243</v>
      </c>
      <c r="F32" s="699"/>
      <c r="G32" s="699"/>
      <c r="H32" s="699"/>
      <c r="I32" s="699"/>
      <c r="J32" s="699"/>
      <c r="K32" s="38">
        <f t="shared" ref="K32:O36" si="5">+F32</f>
        <v>0</v>
      </c>
      <c r="L32" s="38">
        <f t="shared" si="5"/>
        <v>0</v>
      </c>
      <c r="M32" s="38">
        <f t="shared" si="5"/>
        <v>0</v>
      </c>
      <c r="N32" s="38">
        <f t="shared" si="5"/>
        <v>0</v>
      </c>
      <c r="O32" s="38">
        <f t="shared" si="5"/>
        <v>0</v>
      </c>
    </row>
    <row r="33" spans="1:15" ht="15" x14ac:dyDescent="0.25">
      <c r="A33" s="30"/>
      <c r="B33" s="31"/>
      <c r="C33" s="22" t="s">
        <v>532</v>
      </c>
      <c r="D33" s="22" t="s">
        <v>533</v>
      </c>
      <c r="E33" s="22" t="s">
        <v>246</v>
      </c>
      <c r="F33" s="699"/>
      <c r="G33" s="699"/>
      <c r="H33" s="699"/>
      <c r="I33" s="699"/>
      <c r="J33" s="699"/>
      <c r="K33" s="38">
        <f t="shared" si="5"/>
        <v>0</v>
      </c>
      <c r="L33" s="38">
        <f t="shared" si="5"/>
        <v>0</v>
      </c>
      <c r="M33" s="38">
        <f t="shared" si="5"/>
        <v>0</v>
      </c>
      <c r="N33" s="38">
        <f t="shared" si="5"/>
        <v>0</v>
      </c>
      <c r="O33" s="38">
        <f t="shared" si="5"/>
        <v>0</v>
      </c>
    </row>
    <row r="34" spans="1:15" ht="15" x14ac:dyDescent="0.25">
      <c r="A34" s="30"/>
      <c r="B34" s="31"/>
      <c r="C34" s="22" t="s">
        <v>534</v>
      </c>
      <c r="D34" s="22" t="s">
        <v>535</v>
      </c>
      <c r="E34" s="22" t="s">
        <v>249</v>
      </c>
      <c r="F34" s="699"/>
      <c r="G34" s="699"/>
      <c r="H34" s="699"/>
      <c r="I34" s="699"/>
      <c r="J34" s="699"/>
      <c r="K34" s="38">
        <f t="shared" si="5"/>
        <v>0</v>
      </c>
      <c r="L34" s="38">
        <f t="shared" si="5"/>
        <v>0</v>
      </c>
      <c r="M34" s="38">
        <f t="shared" si="5"/>
        <v>0</v>
      </c>
      <c r="N34" s="38">
        <f t="shared" si="5"/>
        <v>0</v>
      </c>
      <c r="O34" s="38">
        <f t="shared" si="5"/>
        <v>0</v>
      </c>
    </row>
    <row r="35" spans="1:15" ht="15" x14ac:dyDescent="0.25">
      <c r="A35" s="30"/>
      <c r="B35" s="31"/>
      <c r="C35" s="22" t="s">
        <v>536</v>
      </c>
      <c r="D35" s="22" t="s">
        <v>537</v>
      </c>
      <c r="E35" s="22" t="s">
        <v>252</v>
      </c>
      <c r="F35" s="699"/>
      <c r="G35" s="699"/>
      <c r="H35" s="699"/>
      <c r="I35" s="699"/>
      <c r="J35" s="699"/>
      <c r="K35" s="38">
        <f t="shared" si="5"/>
        <v>0</v>
      </c>
      <c r="L35" s="38">
        <f t="shared" si="5"/>
        <v>0</v>
      </c>
      <c r="M35" s="38">
        <f t="shared" si="5"/>
        <v>0</v>
      </c>
      <c r="N35" s="38">
        <f t="shared" si="5"/>
        <v>0</v>
      </c>
      <c r="O35" s="38">
        <f t="shared" si="5"/>
        <v>0</v>
      </c>
    </row>
    <row r="36" spans="1:15" ht="15" x14ac:dyDescent="0.25">
      <c r="A36" s="30">
        <v>17</v>
      </c>
      <c r="B36" s="31">
        <v>18</v>
      </c>
      <c r="C36" s="22" t="s">
        <v>538</v>
      </c>
      <c r="D36" s="22" t="s">
        <v>539</v>
      </c>
      <c r="E36" s="22" t="s">
        <v>255</v>
      </c>
      <c r="F36" s="699"/>
      <c r="G36" s="699"/>
      <c r="H36" s="699"/>
      <c r="I36" s="699"/>
      <c r="J36" s="699"/>
      <c r="K36" s="38">
        <f t="shared" si="5"/>
        <v>0</v>
      </c>
      <c r="L36" s="38">
        <f t="shared" si="5"/>
        <v>0</v>
      </c>
      <c r="M36" s="38">
        <f t="shared" si="5"/>
        <v>0</v>
      </c>
      <c r="N36" s="38">
        <f t="shared" si="5"/>
        <v>0</v>
      </c>
      <c r="O36" s="38">
        <f t="shared" si="5"/>
        <v>0</v>
      </c>
    </row>
    <row r="37" spans="1:15" ht="15" x14ac:dyDescent="0.25">
      <c r="A37" s="30">
        <v>17</v>
      </c>
      <c r="B37" s="31">
        <v>19</v>
      </c>
      <c r="C37" s="22" t="s">
        <v>540</v>
      </c>
      <c r="D37" s="22" t="s">
        <v>541</v>
      </c>
      <c r="E37" s="22" t="s">
        <v>258</v>
      </c>
      <c r="F37" s="699"/>
      <c r="G37" s="699"/>
      <c r="H37" s="699"/>
      <c r="I37" s="699"/>
      <c r="J37" s="699"/>
      <c r="K37" s="38">
        <f>-F37</f>
        <v>0</v>
      </c>
      <c r="L37" s="38">
        <f>-G37</f>
        <v>0</v>
      </c>
      <c r="M37" s="38">
        <f>-H37</f>
        <v>0</v>
      </c>
      <c r="N37" s="38">
        <f>-I37</f>
        <v>0</v>
      </c>
      <c r="O37" s="38">
        <f>-J37</f>
        <v>0</v>
      </c>
    </row>
    <row r="38" spans="1:15" ht="15" x14ac:dyDescent="0.25">
      <c r="A38" s="30">
        <v>17</v>
      </c>
      <c r="B38" s="31">
        <v>18</v>
      </c>
      <c r="C38" s="22" t="s">
        <v>542</v>
      </c>
      <c r="D38" s="22" t="s">
        <v>543</v>
      </c>
      <c r="E38" s="22" t="s">
        <v>261</v>
      </c>
      <c r="F38" s="699"/>
      <c r="G38" s="699"/>
      <c r="H38" s="699"/>
      <c r="I38" s="699"/>
      <c r="J38" s="699"/>
      <c r="K38" s="38">
        <f>+F38</f>
        <v>0</v>
      </c>
      <c r="L38" s="38">
        <f>+G38</f>
        <v>0</v>
      </c>
      <c r="M38" s="38">
        <f>+H38</f>
        <v>0</v>
      </c>
      <c r="N38" s="38">
        <f>+I38</f>
        <v>0</v>
      </c>
      <c r="O38" s="38">
        <f>+J38</f>
        <v>0</v>
      </c>
    </row>
    <row r="39" spans="1:15" ht="15" x14ac:dyDescent="0.25">
      <c r="A39" s="30">
        <v>17</v>
      </c>
      <c r="B39" s="31">
        <v>19</v>
      </c>
      <c r="C39" s="22" t="s">
        <v>544</v>
      </c>
      <c r="D39" s="22" t="s">
        <v>545</v>
      </c>
      <c r="E39" s="22" t="s">
        <v>264</v>
      </c>
      <c r="F39" s="699"/>
      <c r="G39" s="699"/>
      <c r="H39" s="699"/>
      <c r="I39" s="699"/>
      <c r="J39" s="699"/>
      <c r="K39" s="38">
        <f t="shared" ref="K39:M40" si="6">-F39</f>
        <v>0</v>
      </c>
      <c r="L39" s="38">
        <f t="shared" si="6"/>
        <v>0</v>
      </c>
      <c r="M39" s="38">
        <f t="shared" si="6"/>
        <v>0</v>
      </c>
      <c r="N39" s="38">
        <f>-I39</f>
        <v>0</v>
      </c>
      <c r="O39" s="38">
        <f>-J39</f>
        <v>0</v>
      </c>
    </row>
    <row r="40" spans="1:15" ht="15" x14ac:dyDescent="0.25">
      <c r="A40" s="30">
        <v>17</v>
      </c>
      <c r="B40" s="31">
        <v>18</v>
      </c>
      <c r="C40" s="22" t="s">
        <v>0</v>
      </c>
      <c r="D40" s="22" t="s">
        <v>546</v>
      </c>
      <c r="E40" s="22" t="s">
        <v>267</v>
      </c>
      <c r="F40" s="699"/>
      <c r="G40" s="699"/>
      <c r="H40" s="699"/>
      <c r="I40" s="699"/>
      <c r="J40" s="699"/>
      <c r="K40" s="38">
        <f t="shared" si="6"/>
        <v>0</v>
      </c>
      <c r="L40" s="38">
        <f t="shared" si="6"/>
        <v>0</v>
      </c>
      <c r="M40" s="38">
        <f t="shared" si="6"/>
        <v>0</v>
      </c>
      <c r="N40" s="38">
        <f>-I40</f>
        <v>0</v>
      </c>
      <c r="O40" s="38">
        <f>-J40</f>
        <v>0</v>
      </c>
    </row>
    <row r="41" spans="1:15" ht="15" x14ac:dyDescent="0.25">
      <c r="A41" s="30">
        <v>21</v>
      </c>
      <c r="B41" s="31">
        <v>33</v>
      </c>
      <c r="C41" s="22" t="s">
        <v>547</v>
      </c>
      <c r="D41" s="22" t="s">
        <v>548</v>
      </c>
      <c r="E41" s="22" t="s">
        <v>270</v>
      </c>
      <c r="F41" s="699"/>
      <c r="G41" s="699"/>
      <c r="H41" s="699"/>
      <c r="I41" s="699"/>
      <c r="J41" s="699"/>
      <c r="K41" s="38">
        <f>+F41</f>
        <v>0</v>
      </c>
      <c r="L41" s="38">
        <f>+G41</f>
        <v>0</v>
      </c>
      <c r="M41" s="38">
        <f>+H41</f>
        <v>0</v>
      </c>
      <c r="N41" s="38">
        <f>+I41</f>
        <v>0</v>
      </c>
      <c r="O41" s="38">
        <f>+J41</f>
        <v>0</v>
      </c>
    </row>
    <row r="42" spans="1:15" ht="15" x14ac:dyDescent="0.25">
      <c r="A42" s="30">
        <v>21</v>
      </c>
      <c r="B42" s="31">
        <v>34</v>
      </c>
      <c r="C42" s="22" t="s">
        <v>549</v>
      </c>
      <c r="D42" s="22" t="s">
        <v>550</v>
      </c>
      <c r="E42" s="22" t="s">
        <v>273</v>
      </c>
      <c r="F42" s="699"/>
      <c r="G42" s="699"/>
      <c r="H42" s="699"/>
      <c r="I42" s="699"/>
      <c r="J42" s="699"/>
      <c r="K42" s="38">
        <f>-F42</f>
        <v>0</v>
      </c>
      <c r="L42" s="38">
        <f>-G42</f>
        <v>0</v>
      </c>
      <c r="M42" s="38">
        <f>-H42</f>
        <v>0</v>
      </c>
      <c r="N42" s="38">
        <f>-I42</f>
        <v>0</v>
      </c>
      <c r="O42" s="38">
        <f>-J42</f>
        <v>0</v>
      </c>
    </row>
    <row r="43" spans="1:15" ht="15" x14ac:dyDescent="0.25">
      <c r="A43" s="30">
        <v>22</v>
      </c>
      <c r="B43" s="31">
        <v>37</v>
      </c>
      <c r="C43" s="22" t="s">
        <v>551</v>
      </c>
      <c r="D43" s="22" t="s">
        <v>552</v>
      </c>
      <c r="E43" s="22" t="s">
        <v>276</v>
      </c>
      <c r="F43" s="699"/>
      <c r="G43" s="699"/>
      <c r="H43" s="699"/>
      <c r="I43" s="699"/>
      <c r="J43" s="699"/>
      <c r="K43" s="38">
        <f>+F43</f>
        <v>0</v>
      </c>
      <c r="L43" s="38">
        <f>+G43</f>
        <v>0</v>
      </c>
      <c r="M43" s="38">
        <f>+H43</f>
        <v>0</v>
      </c>
      <c r="N43" s="38">
        <f>+I43</f>
        <v>0</v>
      </c>
      <c r="O43" s="38">
        <f>+J43</f>
        <v>0</v>
      </c>
    </row>
    <row r="44" spans="1:15" ht="15" x14ac:dyDescent="0.25">
      <c r="A44" s="30">
        <v>22</v>
      </c>
      <c r="B44" s="31">
        <v>38</v>
      </c>
      <c r="C44" s="22" t="s">
        <v>553</v>
      </c>
      <c r="D44" s="22" t="s">
        <v>554</v>
      </c>
      <c r="E44" s="22" t="s">
        <v>279</v>
      </c>
      <c r="F44" s="699"/>
      <c r="G44" s="699"/>
      <c r="H44" s="699"/>
      <c r="I44" s="699"/>
      <c r="J44" s="699"/>
      <c r="K44" s="38">
        <f>-F44</f>
        <v>0</v>
      </c>
      <c r="L44" s="38">
        <f>-G44</f>
        <v>0</v>
      </c>
      <c r="M44" s="38">
        <f>-H44</f>
        <v>0</v>
      </c>
      <c r="N44" s="38">
        <f>-I44</f>
        <v>0</v>
      </c>
      <c r="O44" s="38">
        <f>-J44</f>
        <v>0</v>
      </c>
    </row>
    <row r="45" spans="1:15" ht="15" x14ac:dyDescent="0.25">
      <c r="A45" s="30">
        <v>23</v>
      </c>
      <c r="B45" s="31">
        <v>35</v>
      </c>
      <c r="C45" s="22" t="s">
        <v>555</v>
      </c>
      <c r="D45" s="22" t="s">
        <v>556</v>
      </c>
      <c r="E45" s="22" t="s">
        <v>282</v>
      </c>
      <c r="F45" s="699"/>
      <c r="G45" s="699"/>
      <c r="H45" s="699"/>
      <c r="I45" s="699"/>
      <c r="J45" s="699"/>
      <c r="K45" s="38">
        <f>+F45</f>
        <v>0</v>
      </c>
      <c r="L45" s="38">
        <f>+G45</f>
        <v>0</v>
      </c>
      <c r="M45" s="38">
        <f>+H45</f>
        <v>0</v>
      </c>
      <c r="N45" s="38">
        <f>+I45</f>
        <v>0</v>
      </c>
      <c r="O45" s="38">
        <f>+J45</f>
        <v>0</v>
      </c>
    </row>
    <row r="46" spans="1:15" ht="12" customHeight="1" x14ac:dyDescent="0.25">
      <c r="A46" s="30">
        <v>23</v>
      </c>
      <c r="B46" s="31">
        <v>36</v>
      </c>
      <c r="C46" s="22" t="s">
        <v>557</v>
      </c>
      <c r="D46" s="22" t="s">
        <v>558</v>
      </c>
      <c r="E46" s="22" t="s">
        <v>285</v>
      </c>
      <c r="F46" s="699"/>
      <c r="G46" s="699"/>
      <c r="H46" s="699"/>
      <c r="I46" s="699"/>
      <c r="J46" s="699"/>
      <c r="K46" s="38">
        <f>-F46</f>
        <v>0</v>
      </c>
      <c r="L46" s="38">
        <f>-G46</f>
        <v>0</v>
      </c>
      <c r="M46" s="38">
        <f>-H46</f>
        <v>0</v>
      </c>
      <c r="N46" s="38">
        <f>-I46</f>
        <v>0</v>
      </c>
      <c r="O46" s="38">
        <f>-J46</f>
        <v>0</v>
      </c>
    </row>
    <row r="47" spans="1:15" ht="12" customHeight="1" x14ac:dyDescent="0.25">
      <c r="A47" s="30">
        <v>23</v>
      </c>
      <c r="B47" s="31">
        <v>35</v>
      </c>
      <c r="C47" s="22" t="s">
        <v>559</v>
      </c>
      <c r="D47" s="22" t="s">
        <v>560</v>
      </c>
      <c r="E47" s="22" t="s">
        <v>288</v>
      </c>
      <c r="F47" s="700"/>
      <c r="G47" s="700"/>
      <c r="H47" s="700"/>
      <c r="I47" s="700"/>
      <c r="J47" s="700"/>
      <c r="K47" s="38">
        <f>+F47</f>
        <v>0</v>
      </c>
      <c r="L47" s="38">
        <f>+G47</f>
        <v>0</v>
      </c>
      <c r="M47" s="38">
        <f>+H47</f>
        <v>0</v>
      </c>
      <c r="N47" s="38">
        <f>+I47</f>
        <v>0</v>
      </c>
      <c r="O47" s="38">
        <f>+J47</f>
        <v>0</v>
      </c>
    </row>
    <row r="48" spans="1:15" ht="12" customHeight="1" x14ac:dyDescent="0.25">
      <c r="A48" s="30">
        <v>23</v>
      </c>
      <c r="B48" s="31">
        <v>36</v>
      </c>
      <c r="C48" s="22" t="s">
        <v>561</v>
      </c>
      <c r="D48" s="22" t="s">
        <v>562</v>
      </c>
      <c r="E48" s="22" t="s">
        <v>291</v>
      </c>
      <c r="F48" s="700"/>
      <c r="G48" s="700"/>
      <c r="H48" s="700"/>
      <c r="I48" s="700"/>
      <c r="J48" s="700"/>
      <c r="K48" s="38">
        <f>-F48</f>
        <v>0</v>
      </c>
      <c r="L48" s="38">
        <f>-G48</f>
        <v>0</v>
      </c>
      <c r="M48" s="38">
        <f>-H48</f>
        <v>0</v>
      </c>
      <c r="N48" s="38">
        <f>-I48</f>
        <v>0</v>
      </c>
      <c r="O48" s="38">
        <f>-J48</f>
        <v>0</v>
      </c>
    </row>
    <row r="49" spans="1:15" ht="15" x14ac:dyDescent="0.25">
      <c r="A49" s="30"/>
      <c r="B49" s="31"/>
      <c r="C49" s="22" t="s">
        <v>524</v>
      </c>
      <c r="D49" s="22" t="s">
        <v>563</v>
      </c>
      <c r="E49" s="22" t="s">
        <v>294</v>
      </c>
      <c r="F49" s="699"/>
      <c r="G49" s="699"/>
      <c r="H49" s="699"/>
      <c r="I49" s="699"/>
      <c r="J49" s="699"/>
    </row>
    <row r="50" spans="1:15" ht="15" x14ac:dyDescent="0.25">
      <c r="A50" s="30"/>
      <c r="B50" s="31"/>
      <c r="C50" s="22" t="s">
        <v>564</v>
      </c>
      <c r="D50" s="22" t="s">
        <v>565</v>
      </c>
      <c r="E50" s="22" t="s">
        <v>296</v>
      </c>
      <c r="F50" s="699"/>
      <c r="G50" s="699"/>
      <c r="H50" s="699"/>
      <c r="I50" s="699"/>
      <c r="J50" s="699"/>
    </row>
    <row r="51" spans="1:15" ht="15" x14ac:dyDescent="0.25">
      <c r="A51" s="30">
        <v>25</v>
      </c>
      <c r="B51" s="31"/>
      <c r="C51" s="22" t="s">
        <v>566</v>
      </c>
      <c r="D51" s="22" t="s">
        <v>567</v>
      </c>
      <c r="E51" s="22" t="s">
        <v>298</v>
      </c>
      <c r="F51" s="699"/>
      <c r="G51" s="699"/>
      <c r="H51" s="699"/>
      <c r="I51" s="699"/>
      <c r="J51" s="699"/>
      <c r="K51" s="38">
        <f t="shared" ref="K51:O53" si="7">-F51</f>
        <v>0</v>
      </c>
      <c r="L51" s="38">
        <f t="shared" si="7"/>
        <v>0</v>
      </c>
      <c r="M51" s="38">
        <f t="shared" si="7"/>
        <v>0</v>
      </c>
      <c r="N51" s="38">
        <f t="shared" si="7"/>
        <v>0</v>
      </c>
      <c r="O51" s="38">
        <f t="shared" si="7"/>
        <v>0</v>
      </c>
    </row>
    <row r="52" spans="1:15" ht="15" x14ac:dyDescent="0.25">
      <c r="A52" s="30"/>
      <c r="B52" s="31">
        <v>40</v>
      </c>
      <c r="C52" s="22" t="s">
        <v>568</v>
      </c>
      <c r="D52" s="22" t="s">
        <v>569</v>
      </c>
      <c r="E52" s="22" t="s">
        <v>301</v>
      </c>
      <c r="F52" s="699"/>
      <c r="G52" s="699"/>
      <c r="H52" s="699"/>
      <c r="I52" s="699"/>
      <c r="J52" s="699"/>
      <c r="K52" s="38">
        <f t="shared" si="7"/>
        <v>0</v>
      </c>
      <c r="L52" s="38">
        <f t="shared" si="7"/>
        <v>0</v>
      </c>
      <c r="M52" s="38">
        <f t="shared" si="7"/>
        <v>0</v>
      </c>
      <c r="N52" s="38">
        <f t="shared" si="7"/>
        <v>0</v>
      </c>
      <c r="O52" s="38">
        <f t="shared" si="7"/>
        <v>0</v>
      </c>
    </row>
    <row r="53" spans="1:15" ht="15" x14ac:dyDescent="0.25">
      <c r="A53" s="30"/>
      <c r="B53" s="31">
        <v>41</v>
      </c>
      <c r="C53" s="22" t="s">
        <v>570</v>
      </c>
      <c r="D53" s="22" t="s">
        <v>571</v>
      </c>
      <c r="E53" s="22" t="s">
        <v>303</v>
      </c>
      <c r="F53" s="699"/>
      <c r="G53" s="699"/>
      <c r="H53" s="699"/>
      <c r="I53" s="699"/>
      <c r="J53" s="699"/>
      <c r="K53" s="38">
        <f t="shared" si="7"/>
        <v>0</v>
      </c>
      <c r="L53" s="38">
        <f t="shared" si="7"/>
        <v>0</v>
      </c>
      <c r="M53" s="38">
        <f t="shared" si="7"/>
        <v>0</v>
      </c>
      <c r="N53" s="38">
        <f t="shared" si="7"/>
        <v>0</v>
      </c>
      <c r="O53" s="38">
        <f t="shared" si="7"/>
        <v>0</v>
      </c>
    </row>
    <row r="54" spans="1:15" ht="15" x14ac:dyDescent="0.25">
      <c r="A54" s="30"/>
      <c r="B54" s="31"/>
      <c r="C54" s="22" t="s">
        <v>564</v>
      </c>
      <c r="D54" s="22" t="s">
        <v>572</v>
      </c>
      <c r="E54" s="22" t="s">
        <v>305</v>
      </c>
      <c r="F54" s="699"/>
      <c r="G54" s="699"/>
      <c r="H54" s="699"/>
      <c r="I54" s="699"/>
      <c r="J54" s="699"/>
    </row>
    <row r="55" spans="1:15" ht="15" x14ac:dyDescent="0.25">
      <c r="A55" s="30">
        <v>24</v>
      </c>
      <c r="B55" s="31">
        <v>39</v>
      </c>
      <c r="C55" s="22" t="s">
        <v>573</v>
      </c>
      <c r="D55" s="22" t="s">
        <v>574</v>
      </c>
      <c r="E55" s="22" t="s">
        <v>308</v>
      </c>
      <c r="F55" s="699"/>
      <c r="G55" s="699"/>
      <c r="H55" s="699"/>
      <c r="I55" s="699"/>
      <c r="J55" s="699"/>
      <c r="K55" s="38">
        <f>+F55</f>
        <v>0</v>
      </c>
      <c r="L55" s="38">
        <f>+G55</f>
        <v>0</v>
      </c>
      <c r="M55" s="38">
        <f>+H55</f>
        <v>0</v>
      </c>
      <c r="N55" s="38">
        <f>+I55</f>
        <v>0</v>
      </c>
      <c r="O55" s="38">
        <f>+J55</f>
        <v>0</v>
      </c>
    </row>
    <row r="56" spans="1:15" ht="15" x14ac:dyDescent="0.25">
      <c r="A56" s="30">
        <v>24</v>
      </c>
      <c r="B56" s="31">
        <v>39</v>
      </c>
      <c r="C56" s="22" t="s">
        <v>575</v>
      </c>
      <c r="D56" s="22" t="s">
        <v>576</v>
      </c>
      <c r="E56" s="22" t="s">
        <v>311</v>
      </c>
      <c r="F56" s="699"/>
      <c r="G56" s="699"/>
      <c r="H56" s="699"/>
      <c r="I56" s="699"/>
      <c r="J56" s="699"/>
      <c r="K56" s="38">
        <f>-F56</f>
        <v>0</v>
      </c>
      <c r="L56" s="38">
        <f>-G56</f>
        <v>0</v>
      </c>
      <c r="M56" s="38">
        <f>-H56</f>
        <v>0</v>
      </c>
      <c r="N56" s="38">
        <f>-I56</f>
        <v>0</v>
      </c>
      <c r="O56" s="38">
        <f>-J56</f>
        <v>0</v>
      </c>
    </row>
    <row r="57" spans="1:15" ht="15" x14ac:dyDescent="0.25">
      <c r="A57" s="30"/>
      <c r="B57" s="31"/>
      <c r="C57" s="22" t="s">
        <v>564</v>
      </c>
      <c r="D57" s="22" t="s">
        <v>577</v>
      </c>
      <c r="E57" s="22" t="s">
        <v>313</v>
      </c>
      <c r="F57" s="699"/>
      <c r="G57" s="699"/>
      <c r="H57" s="699"/>
      <c r="I57" s="699"/>
      <c r="J57" s="699"/>
    </row>
    <row r="58" spans="1:15" ht="15" x14ac:dyDescent="0.25">
      <c r="A58" s="30">
        <v>25</v>
      </c>
      <c r="B58" s="31"/>
      <c r="C58" s="22" t="s">
        <v>578</v>
      </c>
      <c r="D58" s="22" t="s">
        <v>579</v>
      </c>
      <c r="E58" s="22" t="s">
        <v>316</v>
      </c>
      <c r="F58" s="699"/>
      <c r="G58" s="699"/>
      <c r="H58" s="699"/>
      <c r="I58" s="699"/>
      <c r="J58" s="699"/>
      <c r="K58" s="38">
        <f t="shared" ref="K58:O60" si="8">-F58</f>
        <v>0</v>
      </c>
      <c r="L58" s="38">
        <f t="shared" si="8"/>
        <v>0</v>
      </c>
      <c r="M58" s="38">
        <f t="shared" si="8"/>
        <v>0</v>
      </c>
      <c r="N58" s="38">
        <f t="shared" si="8"/>
        <v>0</v>
      </c>
      <c r="O58" s="38">
        <f t="shared" si="8"/>
        <v>0</v>
      </c>
    </row>
    <row r="59" spans="1:15" ht="15" x14ac:dyDescent="0.25">
      <c r="A59" s="30"/>
      <c r="B59" s="31">
        <v>40</v>
      </c>
      <c r="C59" s="22" t="s">
        <v>580</v>
      </c>
      <c r="D59" s="22" t="s">
        <v>581</v>
      </c>
      <c r="E59" s="22" t="s">
        <v>319</v>
      </c>
      <c r="F59" s="699"/>
      <c r="G59" s="699"/>
      <c r="H59" s="699"/>
      <c r="I59" s="699"/>
      <c r="J59" s="699"/>
      <c r="K59" s="38">
        <f t="shared" si="8"/>
        <v>0</v>
      </c>
      <c r="L59" s="38">
        <f t="shared" si="8"/>
        <v>0</v>
      </c>
      <c r="M59" s="38">
        <f t="shared" si="8"/>
        <v>0</v>
      </c>
      <c r="N59" s="38">
        <f t="shared" si="8"/>
        <v>0</v>
      </c>
      <c r="O59" s="38">
        <f t="shared" si="8"/>
        <v>0</v>
      </c>
    </row>
    <row r="60" spans="1:15" ht="15" x14ac:dyDescent="0.25">
      <c r="A60" s="30"/>
      <c r="B60" s="31">
        <v>41</v>
      </c>
      <c r="C60" s="22" t="s">
        <v>582</v>
      </c>
      <c r="D60" s="22" t="s">
        <v>583</v>
      </c>
      <c r="E60" s="22" t="s">
        <v>322</v>
      </c>
      <c r="F60" s="699"/>
      <c r="G60" s="699"/>
      <c r="H60" s="699"/>
      <c r="I60" s="699"/>
      <c r="J60" s="699"/>
      <c r="K60" s="38">
        <f t="shared" si="8"/>
        <v>0</v>
      </c>
      <c r="L60" s="38">
        <f t="shared" si="8"/>
        <v>0</v>
      </c>
      <c r="M60" s="38">
        <f t="shared" si="8"/>
        <v>0</v>
      </c>
      <c r="N60" s="38">
        <f t="shared" si="8"/>
        <v>0</v>
      </c>
      <c r="O60" s="38">
        <f t="shared" si="8"/>
        <v>0</v>
      </c>
    </row>
    <row r="61" spans="1:15" ht="15" x14ac:dyDescent="0.25">
      <c r="A61" s="30"/>
      <c r="B61" s="31"/>
      <c r="C61" s="22" t="s">
        <v>524</v>
      </c>
      <c r="D61" s="22" t="s">
        <v>584</v>
      </c>
      <c r="E61" s="22" t="s">
        <v>325</v>
      </c>
      <c r="F61" s="699"/>
      <c r="G61" s="699"/>
      <c r="H61" s="699"/>
      <c r="I61" s="699"/>
      <c r="J61" s="699"/>
    </row>
    <row r="62" spans="1:15" ht="15" x14ac:dyDescent="0.25">
      <c r="A62" s="30"/>
      <c r="B62" s="31"/>
      <c r="C62" s="22" t="s">
        <v>585</v>
      </c>
      <c r="D62" s="22" t="s">
        <v>586</v>
      </c>
      <c r="E62" s="22" t="s">
        <v>327</v>
      </c>
      <c r="F62" s="699"/>
      <c r="G62" s="699"/>
      <c r="H62" s="699"/>
      <c r="I62" s="699"/>
      <c r="J62" s="699"/>
    </row>
    <row r="63" spans="1:15" ht="15" x14ac:dyDescent="0.25">
      <c r="A63" s="30"/>
      <c r="B63" s="31"/>
      <c r="C63" s="22" t="s">
        <v>587</v>
      </c>
      <c r="D63" s="22" t="s">
        <v>588</v>
      </c>
      <c r="E63" s="22" t="s">
        <v>330</v>
      </c>
      <c r="F63" s="699"/>
      <c r="G63" s="699"/>
      <c r="H63" s="699"/>
      <c r="I63" s="699"/>
      <c r="J63" s="699"/>
      <c r="K63" s="38">
        <f>+F63</f>
        <v>0</v>
      </c>
      <c r="L63" s="38">
        <f>+G63</f>
        <v>0</v>
      </c>
      <c r="M63" s="38">
        <f>+H63</f>
        <v>0</v>
      </c>
      <c r="N63" s="38">
        <f>+I63</f>
        <v>0</v>
      </c>
      <c r="O63" s="38">
        <f>+J63</f>
        <v>0</v>
      </c>
    </row>
    <row r="64" spans="1:15" ht="15" x14ac:dyDescent="0.25">
      <c r="A64" s="30"/>
      <c r="B64" s="31"/>
      <c r="C64" s="22" t="s">
        <v>585</v>
      </c>
      <c r="D64" s="22" t="s">
        <v>589</v>
      </c>
      <c r="E64" s="22" t="s">
        <v>333</v>
      </c>
      <c r="F64" s="699"/>
      <c r="G64" s="699"/>
      <c r="H64" s="699"/>
      <c r="I64" s="699"/>
      <c r="J64" s="699"/>
    </row>
    <row r="66" spans="3:10" x14ac:dyDescent="0.2">
      <c r="C66" s="33" t="s">
        <v>346</v>
      </c>
      <c r="D66" s="32" t="s">
        <v>498</v>
      </c>
      <c r="E66" s="32"/>
      <c r="F66" s="50">
        <f>F11</f>
        <v>0</v>
      </c>
      <c r="G66" s="50">
        <f t="shared" ref="G66:J66" si="9">G11</f>
        <v>0</v>
      </c>
      <c r="H66" s="50">
        <f t="shared" si="9"/>
        <v>0</v>
      </c>
      <c r="I66" s="50">
        <f t="shared" si="9"/>
        <v>0</v>
      </c>
      <c r="J66" s="50">
        <f t="shared" si="9"/>
        <v>0</v>
      </c>
    </row>
    <row r="67" spans="3:10" x14ac:dyDescent="0.2">
      <c r="C67" s="35" t="s">
        <v>347</v>
      </c>
      <c r="D67" s="34"/>
      <c r="E67" s="34"/>
      <c r="F67" s="51">
        <f>(F12+F13)-F66</f>
        <v>0</v>
      </c>
      <c r="G67" s="51">
        <f t="shared" ref="G67:J67" si="10">(G12+G13)-G66</f>
        <v>0</v>
      </c>
      <c r="H67" s="51">
        <f t="shared" si="10"/>
        <v>0</v>
      </c>
      <c r="I67" s="51">
        <f t="shared" si="10"/>
        <v>0</v>
      </c>
      <c r="J67" s="51">
        <f t="shared" si="10"/>
        <v>0</v>
      </c>
    </row>
    <row r="68" spans="3:10" s="32" customFormat="1" x14ac:dyDescent="0.2">
      <c r="C68" s="33" t="s">
        <v>346</v>
      </c>
      <c r="D68" s="32" t="s">
        <v>525</v>
      </c>
      <c r="F68" s="50">
        <f>F29</f>
        <v>0</v>
      </c>
      <c r="G68" s="50">
        <f t="shared" ref="G68:J68" si="11">G29</f>
        <v>0</v>
      </c>
      <c r="H68" s="50">
        <f t="shared" si="11"/>
        <v>0</v>
      </c>
      <c r="I68" s="50">
        <f t="shared" si="11"/>
        <v>0</v>
      </c>
      <c r="J68" s="50">
        <f t="shared" si="11"/>
        <v>0</v>
      </c>
    </row>
    <row r="69" spans="3:10" s="34" customFormat="1" x14ac:dyDescent="0.2">
      <c r="C69" s="35" t="s">
        <v>347</v>
      </c>
      <c r="F69" s="51">
        <f>((F14-F15-F20-F21)+F22-F23-F24+F25-F26+(-F27)-(-F28))-F68</f>
        <v>0</v>
      </c>
      <c r="G69" s="51">
        <f t="shared" ref="G69:J69" si="12">((G14-G15-G20-G21)+G22-G23-G24+G25-G26+(-G27)-(-G28))-G68</f>
        <v>0</v>
      </c>
      <c r="H69" s="51">
        <f t="shared" si="12"/>
        <v>0</v>
      </c>
      <c r="I69" s="51">
        <f t="shared" si="12"/>
        <v>0</v>
      </c>
      <c r="J69" s="51">
        <f t="shared" si="12"/>
        <v>0</v>
      </c>
    </row>
    <row r="70" spans="3:10" s="32" customFormat="1" x14ac:dyDescent="0.2">
      <c r="C70" s="33" t="s">
        <v>346</v>
      </c>
      <c r="D70" s="32" t="s">
        <v>586</v>
      </c>
      <c r="F70" s="50">
        <f>F62</f>
        <v>0</v>
      </c>
      <c r="G70" s="50">
        <f t="shared" ref="G70:J70" si="13">G62</f>
        <v>0</v>
      </c>
      <c r="H70" s="50">
        <f t="shared" si="13"/>
        <v>0</v>
      </c>
      <c r="I70" s="50">
        <f t="shared" si="13"/>
        <v>0</v>
      </c>
      <c r="J70" s="50">
        <f t="shared" si="13"/>
        <v>0</v>
      </c>
    </row>
    <row r="71" spans="3:10" s="34" customFormat="1" x14ac:dyDescent="0.2">
      <c r="C71" s="35" t="s">
        <v>347</v>
      </c>
      <c r="F71" s="51">
        <f>(F50+F57)-F70</f>
        <v>0</v>
      </c>
      <c r="G71" s="51">
        <f t="shared" ref="G71:J71" si="14">(G50+G57)-G70</f>
        <v>0</v>
      </c>
      <c r="H71" s="51">
        <f t="shared" si="14"/>
        <v>0</v>
      </c>
      <c r="I71" s="51">
        <f t="shared" si="14"/>
        <v>0</v>
      </c>
      <c r="J71" s="51">
        <f t="shared" si="14"/>
        <v>0</v>
      </c>
    </row>
    <row r="72" spans="3:10" s="32" customFormat="1" x14ac:dyDescent="0.2">
      <c r="C72" s="33" t="s">
        <v>346</v>
      </c>
      <c r="D72" s="32" t="s">
        <v>589</v>
      </c>
      <c r="F72" s="50">
        <f>F64</f>
        <v>0</v>
      </c>
      <c r="G72" s="50">
        <f t="shared" ref="G72:J72" si="15">G64</f>
        <v>0</v>
      </c>
      <c r="H72" s="50">
        <f t="shared" si="15"/>
        <v>0</v>
      </c>
      <c r="I72" s="50">
        <f t="shared" si="15"/>
        <v>0</v>
      </c>
      <c r="J72" s="50">
        <f t="shared" si="15"/>
        <v>0</v>
      </c>
    </row>
    <row r="73" spans="3:10" s="34" customFormat="1" x14ac:dyDescent="0.2">
      <c r="C73" s="35" t="s">
        <v>347</v>
      </c>
      <c r="F73" s="51">
        <f>(F54+F61-F63)-F72</f>
        <v>0</v>
      </c>
      <c r="G73" s="51">
        <f t="shared" ref="G73:J73" si="16">(G54+G61-G63)-G72</f>
        <v>0</v>
      </c>
      <c r="H73" s="51">
        <f t="shared" si="16"/>
        <v>0</v>
      </c>
      <c r="I73" s="51">
        <f t="shared" si="16"/>
        <v>0</v>
      </c>
      <c r="J73" s="51">
        <f t="shared" si="16"/>
        <v>0</v>
      </c>
    </row>
    <row r="74" spans="3:10" s="32" customFormat="1" x14ac:dyDescent="0.2"/>
    <row r="75" spans="3:10" s="34" customFormat="1" x14ac:dyDescent="0.2"/>
    <row r="76" spans="3:10" x14ac:dyDescent="0.2">
      <c r="F76" s="38"/>
      <c r="G76" s="38"/>
    </row>
    <row r="77" spans="3:10" x14ac:dyDescent="0.2">
      <c r="G77" s="38"/>
    </row>
  </sheetData>
  <pageMargins left="0.7" right="0.7" top="0.75" bottom="0.75" header="0.3" footer="0.3"/>
  <pageSetup paperSize="9" orientation="portrait" r:id="rId1"/>
  <headerFooter>
    <oddFooter>&amp;C&amp;7&amp;B&amp;"Arial"Document Classification: KPMG Confidential</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D4E9EF-64B5-4161-9D1A-F5DD0E38B923}">
  <sheetPr>
    <tabColor rgb="FF00B050"/>
  </sheetPr>
  <dimension ref="A1:AB106"/>
  <sheetViews>
    <sheetView showGridLines="0" topLeftCell="J1" workbookViewId="0">
      <selection activeCell="M8" sqref="M8:M15"/>
    </sheetView>
  </sheetViews>
  <sheetFormatPr defaultColWidth="8.85546875" defaultRowHeight="11.25" x14ac:dyDescent="0.2"/>
  <cols>
    <col min="1" max="2" width="2.85546875" style="291" hidden="1" customWidth="1"/>
    <col min="3" max="3" width="42.85546875" style="291" hidden="1" customWidth="1"/>
    <col min="4" max="4" width="42.85546875" style="294" hidden="1" customWidth="1"/>
    <col min="5" max="9" width="10.7109375" style="291" hidden="1" customWidth="1"/>
    <col min="10" max="10" width="19.42578125" style="291" bestFit="1" customWidth="1"/>
    <col min="11" max="11" width="22.85546875" style="291" bestFit="1" customWidth="1"/>
    <col min="12" max="12" width="8.85546875" style="291"/>
    <col min="13" max="13" width="19" style="291" customWidth="1"/>
    <col min="14" max="14" width="2.28515625" style="291" customWidth="1"/>
    <col min="15" max="15" width="8.140625" style="291" customWidth="1"/>
    <col min="16" max="16384" width="8.85546875" style="291"/>
  </cols>
  <sheetData>
    <row r="1" spans="1:28" x14ac:dyDescent="0.2">
      <c r="A1" s="190"/>
      <c r="B1" s="190"/>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row>
    <row r="2" spans="1:28" ht="21" customHeight="1" x14ac:dyDescent="0.2">
      <c r="A2" s="190"/>
      <c r="B2" s="190"/>
      <c r="C2" s="374" t="str">
        <f>CONCATENATE("Analysis of financial results: ",Aktíva!E1)</f>
        <v xml:space="preserve">Analysis of financial results: </v>
      </c>
      <c r="D2" s="374" t="str">
        <f>CONCATENATE("Analýza finančných výsledkov: ",Aktíva!D1)</f>
        <v>Analýza finančných výsledkov: XXY s.r.o.</v>
      </c>
      <c r="E2" s="375"/>
      <c r="F2" s="190"/>
      <c r="G2" s="190"/>
      <c r="H2" s="190"/>
      <c r="I2" s="190"/>
      <c r="J2" s="190"/>
      <c r="K2" s="190"/>
      <c r="L2" s="190"/>
      <c r="M2" s="190"/>
      <c r="N2" s="190"/>
      <c r="O2" s="190"/>
      <c r="P2" s="190"/>
      <c r="Q2" s="190"/>
      <c r="R2" s="190"/>
      <c r="S2" s="190"/>
      <c r="T2" s="190"/>
      <c r="U2" s="190"/>
      <c r="V2" s="190"/>
      <c r="W2" s="190"/>
      <c r="X2" s="190"/>
      <c r="Y2" s="190"/>
      <c r="Z2" s="190"/>
      <c r="AA2" s="190"/>
      <c r="AB2" s="190"/>
    </row>
    <row r="6" spans="1:28" ht="19.5" customHeight="1" x14ac:dyDescent="0.2">
      <c r="C6" s="55" t="s">
        <v>748</v>
      </c>
      <c r="D6" s="55" t="s">
        <v>687</v>
      </c>
      <c r="E6" s="56"/>
      <c r="F6" s="56"/>
      <c r="G6" s="56"/>
      <c r="H6" s="56"/>
      <c r="I6" s="57"/>
      <c r="K6" s="55" t="s">
        <v>861</v>
      </c>
      <c r="L6" s="58"/>
      <c r="M6" s="59"/>
      <c r="N6" s="462"/>
      <c r="O6" s="463"/>
      <c r="P6" s="464"/>
      <c r="Q6" s="464"/>
    </row>
    <row r="7" spans="1:28" ht="11.25" customHeight="1" x14ac:dyDescent="0.2">
      <c r="C7" s="60" t="str">
        <f>'Detailné výkazy'!C7</f>
        <v xml:space="preserve">€  </v>
      </c>
      <c r="D7" s="60" t="str">
        <f>'Detailné výkazy'!C7</f>
        <v xml:space="preserve">€  </v>
      </c>
      <c r="E7" s="61" t="str">
        <f>'Detailné výkazy'!E7</f>
        <v>FY19</v>
      </c>
      <c r="F7" s="61" t="str">
        <f>'Detailné výkazy'!F7</f>
        <v>FY20</v>
      </c>
      <c r="G7" s="61" t="str">
        <f>'Detailné výkazy'!G7</f>
        <v>FY21</v>
      </c>
      <c r="H7" s="61" t="str">
        <f>'Detailné výkazy'!H7</f>
        <v>FY22</v>
      </c>
      <c r="I7" s="62" t="str">
        <f>'Detailné výkazy'!I7</f>
        <v>FY23</v>
      </c>
      <c r="K7" s="470"/>
      <c r="L7" s="471"/>
      <c r="M7" s="472"/>
      <c r="N7" s="465"/>
      <c r="O7" s="466"/>
      <c r="P7" s="466"/>
      <c r="Q7" s="466"/>
    </row>
    <row r="8" spans="1:28" ht="11.25" customHeight="1" x14ac:dyDescent="0.2">
      <c r="C8" s="63" t="s">
        <v>19</v>
      </c>
      <c r="D8" s="63" t="s">
        <v>45</v>
      </c>
      <c r="E8" s="214">
        <f>'Detailné výkazy'!E11</f>
        <v>0</v>
      </c>
      <c r="F8" s="214">
        <f>'Detailné výkazy'!F11</f>
        <v>0</v>
      </c>
      <c r="G8" s="214">
        <f>'Detailné výkazy'!G11</f>
        <v>0</v>
      </c>
      <c r="H8" s="214">
        <f>'Detailné výkazy'!H11</f>
        <v>0</v>
      </c>
      <c r="I8" s="215">
        <f>'Detailné výkazy'!I11</f>
        <v>0</v>
      </c>
      <c r="K8" s="64" t="s">
        <v>862</v>
      </c>
      <c r="L8" s="469">
        <v>2016</v>
      </c>
      <c r="M8" s="67" t="s">
        <v>867</v>
      </c>
      <c r="N8" s="465"/>
      <c r="O8" s="467">
        <f>Aktíva!F3</f>
        <v>2023</v>
      </c>
      <c r="P8" s="467">
        <v>5</v>
      </c>
      <c r="Q8" s="466"/>
    </row>
    <row r="9" spans="1:28" ht="11.25" customHeight="1" x14ac:dyDescent="0.2">
      <c r="C9" s="68" t="s">
        <v>749</v>
      </c>
      <c r="D9" s="68" t="s">
        <v>682</v>
      </c>
      <c r="E9" s="69"/>
      <c r="F9" s="69">
        <f>IFERROR(F8/E8-1,0)</f>
        <v>0</v>
      </c>
      <c r="G9" s="69">
        <f t="shared" ref="G9:I9" si="0">IFERROR(G8/F8-1,0)</f>
        <v>0</v>
      </c>
      <c r="H9" s="69">
        <f t="shared" si="0"/>
        <v>0</v>
      </c>
      <c r="I9" s="70">
        <f t="shared" si="0"/>
        <v>0</v>
      </c>
      <c r="K9" s="64" t="s">
        <v>863</v>
      </c>
      <c r="L9" s="65">
        <v>2020</v>
      </c>
      <c r="M9" s="67" t="s">
        <v>867</v>
      </c>
      <c r="N9" s="465"/>
      <c r="O9" s="467">
        <f t="shared" ref="O9:P12" si="1">O8-1</f>
        <v>2022</v>
      </c>
      <c r="P9" s="467">
        <f t="shared" si="1"/>
        <v>4</v>
      </c>
      <c r="Q9" s="466"/>
    </row>
    <row r="10" spans="1:28" ht="11.25" customHeight="1" x14ac:dyDescent="0.2">
      <c r="C10" s="71" t="s">
        <v>750</v>
      </c>
      <c r="D10" s="71" t="s">
        <v>637</v>
      </c>
      <c r="E10" s="72">
        <f>'Skrátené výkazy'!E21</f>
        <v>0</v>
      </c>
      <c r="F10" s="72">
        <f>'Skrátené výkazy'!F21</f>
        <v>0</v>
      </c>
      <c r="G10" s="72">
        <f>'Skrátené výkazy'!G21</f>
        <v>0</v>
      </c>
      <c r="H10" s="72">
        <f>'Skrátené výkazy'!H21</f>
        <v>0</v>
      </c>
      <c r="I10" s="73">
        <f>'Skrátené výkazy'!I21</f>
        <v>0</v>
      </c>
      <c r="K10" s="64" t="s">
        <v>864</v>
      </c>
      <c r="L10" s="74">
        <f>L9-L8</f>
        <v>4</v>
      </c>
      <c r="M10" s="67" t="s">
        <v>868</v>
      </c>
      <c r="N10" s="465"/>
      <c r="O10" s="467">
        <f t="shared" si="1"/>
        <v>2021</v>
      </c>
      <c r="P10" s="467">
        <f t="shared" si="1"/>
        <v>3</v>
      </c>
      <c r="Q10" s="466"/>
    </row>
    <row r="11" spans="1:28" ht="11.25" customHeight="1" x14ac:dyDescent="0.2">
      <c r="C11" s="75" t="s">
        <v>751</v>
      </c>
      <c r="D11" s="75" t="s">
        <v>704</v>
      </c>
      <c r="E11" s="196">
        <f>'Skrátené výkazy'!E62</f>
        <v>0</v>
      </c>
      <c r="F11" s="196">
        <f>'Skrátené výkazy'!F62</f>
        <v>0</v>
      </c>
      <c r="G11" s="196">
        <f>'Skrátené výkazy'!G62</f>
        <v>0</v>
      </c>
      <c r="H11" s="196">
        <f>'Skrátené výkazy'!H62</f>
        <v>0</v>
      </c>
      <c r="I11" s="197">
        <f>'Skrátené výkazy'!I62</f>
        <v>0</v>
      </c>
      <c r="K11" s="64"/>
      <c r="L11" s="74"/>
      <c r="M11" s="67"/>
      <c r="N11" s="465"/>
      <c r="O11" s="467">
        <f t="shared" si="1"/>
        <v>2020</v>
      </c>
      <c r="P11" s="467">
        <f t="shared" si="1"/>
        <v>2</v>
      </c>
      <c r="Q11" s="466"/>
    </row>
    <row r="12" spans="1:28" ht="11.25" customHeight="1" x14ac:dyDescent="0.2">
      <c r="C12" s="71" t="s">
        <v>752</v>
      </c>
      <c r="D12" s="71" t="s">
        <v>642</v>
      </c>
      <c r="E12" s="72">
        <f>'Skrátené výkazy'!E63</f>
        <v>0</v>
      </c>
      <c r="F12" s="72">
        <f>'Skrátené výkazy'!F63</f>
        <v>0</v>
      </c>
      <c r="G12" s="72">
        <f>'Skrátené výkazy'!G63</f>
        <v>0</v>
      </c>
      <c r="H12" s="72">
        <f>'Skrátené výkazy'!H63</f>
        <v>0</v>
      </c>
      <c r="I12" s="73">
        <f>'Skrátené výkazy'!I63</f>
        <v>0</v>
      </c>
      <c r="K12" s="64" t="s">
        <v>865</v>
      </c>
      <c r="L12" s="77" t="e">
        <f>INDEX('CAGR SK'!$E$8:$I$8,MATCH(P14,'Skrátené výkazy'!$E$5:$I$5,0))</f>
        <v>#N/A</v>
      </c>
      <c r="M12" s="67" t="s">
        <v>868</v>
      </c>
      <c r="N12" s="468"/>
      <c r="O12" s="467">
        <f t="shared" si="1"/>
        <v>2019</v>
      </c>
      <c r="P12" s="467">
        <f t="shared" si="1"/>
        <v>1</v>
      </c>
      <c r="Q12" s="466"/>
    </row>
    <row r="13" spans="1:28" ht="11.25" customHeight="1" x14ac:dyDescent="0.2">
      <c r="C13" s="71" t="s">
        <v>753</v>
      </c>
      <c r="D13" s="71" t="s">
        <v>683</v>
      </c>
      <c r="E13" s="196">
        <f>'Skrátené výkazy'!E43</f>
        <v>0</v>
      </c>
      <c r="F13" s="196">
        <f>'Skrátené výkazy'!F43</f>
        <v>0</v>
      </c>
      <c r="G13" s="196">
        <f>'Skrátené výkazy'!G43</f>
        <v>0</v>
      </c>
      <c r="H13" s="196">
        <f>'Skrátené výkazy'!H43</f>
        <v>0</v>
      </c>
      <c r="I13" s="197">
        <f>'Skrátené výkazy'!I43</f>
        <v>0</v>
      </c>
      <c r="K13" s="64" t="s">
        <v>866</v>
      </c>
      <c r="L13" s="77">
        <f>INDEX('CAGR SK'!$E$8:$I$8,MATCH(P15,'Skrátené výkazy'!$E$5:$I$5,0))</f>
        <v>0</v>
      </c>
      <c r="M13" s="67" t="s">
        <v>868</v>
      </c>
      <c r="N13" s="468"/>
      <c r="O13" s="467"/>
      <c r="P13" s="466"/>
      <c r="Q13" s="466"/>
    </row>
    <row r="14" spans="1:28" ht="11.25" customHeight="1" x14ac:dyDescent="0.2">
      <c r="C14" s="71"/>
      <c r="D14" s="71"/>
      <c r="E14" s="78"/>
      <c r="F14" s="78"/>
      <c r="G14" s="78"/>
      <c r="H14" s="78"/>
      <c r="I14" s="79"/>
      <c r="K14" s="80"/>
      <c r="L14" s="66"/>
      <c r="M14" s="67"/>
      <c r="N14" s="468"/>
      <c r="O14" s="467" t="s">
        <v>594</v>
      </c>
      <c r="P14" s="467" t="e">
        <f>VLOOKUP(L8,$O$8:$P$12,2,FALSE)</f>
        <v>#N/A</v>
      </c>
      <c r="Q14" s="466"/>
    </row>
    <row r="15" spans="1:28" ht="11.25" customHeight="1" thickBot="1" x14ac:dyDescent="0.25">
      <c r="C15" s="75" t="s">
        <v>754</v>
      </c>
      <c r="D15" s="75" t="s">
        <v>684</v>
      </c>
      <c r="E15" s="196">
        <f>'Skrátené výkazy'!E93+'Skrátené výkazy'!E86-'Skrátené výkazy'!E78</f>
        <v>0</v>
      </c>
      <c r="F15" s="196">
        <f>'Skrátené výkazy'!F93+'Skrátené výkazy'!F86-'Skrátené výkazy'!F78</f>
        <v>0</v>
      </c>
      <c r="G15" s="196">
        <f>'Skrátené výkazy'!G93+'Skrátené výkazy'!G86-'Skrátené výkazy'!G78</f>
        <v>0</v>
      </c>
      <c r="H15" s="196">
        <f>'Skrátené výkazy'!H93+'Skrátené výkazy'!H86-'Skrátené výkazy'!H78</f>
        <v>0</v>
      </c>
      <c r="I15" s="197">
        <f>'Skrátené výkazy'!I93+'Skrátené výkazy'!I86-'Skrátené výkazy'!I78</f>
        <v>0</v>
      </c>
      <c r="K15" s="81" t="str">
        <f>CONCATENATE(K6," ",L8,"-",L9)</f>
        <v>CAGR 2016-2020</v>
      </c>
      <c r="L15" s="82" t="e">
        <f>(L13/L12)^(1/L10)-1</f>
        <v>#N/A</v>
      </c>
      <c r="M15" s="83" t="s">
        <v>869</v>
      </c>
      <c r="N15" s="468"/>
      <c r="O15" s="467" t="s">
        <v>595</v>
      </c>
      <c r="P15" s="467">
        <f>VLOOKUP(L9,$O$8:$P$12,2,FALSE)</f>
        <v>2</v>
      </c>
      <c r="Q15" s="466"/>
    </row>
    <row r="16" spans="1:28" ht="11.25" customHeight="1" x14ac:dyDescent="0.2">
      <c r="C16" s="75" t="s">
        <v>755</v>
      </c>
      <c r="D16" s="75" t="s">
        <v>685</v>
      </c>
      <c r="E16" s="84">
        <f>IF(E11&lt;0,"N/a",IFERROR(E15/E11,0))</f>
        <v>0</v>
      </c>
      <c r="F16" s="84">
        <f t="shared" ref="F16:I16" si="2">IF(F11&lt;0,"N/a",IFERROR(F15/F11,0))</f>
        <v>0</v>
      </c>
      <c r="G16" s="84">
        <f t="shared" si="2"/>
        <v>0</v>
      </c>
      <c r="H16" s="84">
        <f t="shared" si="2"/>
        <v>0</v>
      </c>
      <c r="I16" s="85">
        <f t="shared" si="2"/>
        <v>0</v>
      </c>
      <c r="K16" s="2"/>
      <c r="L16" s="172"/>
      <c r="M16" s="2"/>
      <c r="N16" s="2"/>
      <c r="O16" s="2"/>
    </row>
    <row r="17" spans="3:15" ht="11.25" customHeight="1" x14ac:dyDescent="0.2">
      <c r="C17" s="75" t="s">
        <v>756</v>
      </c>
      <c r="D17" s="75" t="s">
        <v>686</v>
      </c>
      <c r="E17" s="196">
        <f>'CAGR SK'!E46</f>
        <v>0</v>
      </c>
      <c r="F17" s="196">
        <f>'CAGR SK'!F46</f>
        <v>0</v>
      </c>
      <c r="G17" s="196">
        <f>'CAGR SK'!G46</f>
        <v>0</v>
      </c>
      <c r="H17" s="196">
        <f>'CAGR SK'!H46</f>
        <v>0</v>
      </c>
      <c r="I17" s="197">
        <f>'CAGR SK'!I46</f>
        <v>0</v>
      </c>
      <c r="K17" s="2"/>
      <c r="L17" s="172"/>
      <c r="M17" s="2"/>
      <c r="N17" s="2"/>
      <c r="O17" s="2"/>
    </row>
    <row r="18" spans="3:15" ht="11.25" customHeight="1" thickBot="1" x14ac:dyDescent="0.25">
      <c r="C18" s="87" t="s">
        <v>757</v>
      </c>
      <c r="D18" s="87" t="s">
        <v>664</v>
      </c>
      <c r="E18" s="216">
        <f>'Skrátené výkazy'!E82</f>
        <v>0</v>
      </c>
      <c r="F18" s="216">
        <f>'Skrátené výkazy'!F82</f>
        <v>0</v>
      </c>
      <c r="G18" s="216">
        <f>'Skrátené výkazy'!G82</f>
        <v>0</v>
      </c>
      <c r="H18" s="216">
        <f>'Skrátené výkazy'!H82</f>
        <v>0</v>
      </c>
      <c r="I18" s="217">
        <f>'Skrátené výkazy'!I82</f>
        <v>0</v>
      </c>
      <c r="K18" s="2"/>
      <c r="L18" s="172"/>
      <c r="M18" s="2"/>
      <c r="N18" s="2"/>
      <c r="O18" s="2"/>
    </row>
    <row r="19" spans="3:15" ht="11.25" customHeight="1" x14ac:dyDescent="0.2">
      <c r="D19" s="173"/>
      <c r="E19" s="174"/>
      <c r="F19" s="174"/>
      <c r="G19" s="174"/>
      <c r="H19" s="174"/>
      <c r="I19" s="174"/>
      <c r="K19" s="2"/>
      <c r="L19" s="172"/>
      <c r="M19" s="2"/>
      <c r="N19" s="2"/>
      <c r="O19" s="2"/>
    </row>
    <row r="20" spans="3:15" ht="11.25" customHeight="1" x14ac:dyDescent="0.2">
      <c r="D20" s="175"/>
      <c r="E20" s="2"/>
      <c r="F20" s="2"/>
      <c r="G20" s="2"/>
      <c r="H20" s="2"/>
      <c r="I20" s="2"/>
      <c r="K20" s="2"/>
      <c r="L20" s="172"/>
      <c r="M20" s="2"/>
      <c r="N20" s="2"/>
      <c r="O20" s="2"/>
    </row>
    <row r="21" spans="3:15" ht="11.25" customHeight="1" x14ac:dyDescent="0.2">
      <c r="D21" s="175"/>
      <c r="E21" s="2"/>
      <c r="F21" s="2"/>
      <c r="G21" s="2"/>
      <c r="H21" s="2"/>
      <c r="I21" s="2"/>
      <c r="K21" s="2"/>
      <c r="L21" s="172"/>
      <c r="M21" s="2"/>
      <c r="N21" s="2"/>
      <c r="O21" s="2"/>
    </row>
    <row r="22" spans="3:15" ht="19.5" customHeight="1" x14ac:dyDescent="0.2">
      <c r="C22" s="88" t="s">
        <v>758</v>
      </c>
      <c r="D22" s="88" t="s">
        <v>694</v>
      </c>
      <c r="E22" s="88"/>
      <c r="F22" s="88"/>
      <c r="G22" s="88"/>
      <c r="H22" s="88"/>
      <c r="I22" s="88"/>
      <c r="K22" s="2"/>
      <c r="L22" s="2"/>
      <c r="M22" s="2"/>
      <c r="N22" s="2"/>
      <c r="O22" s="2"/>
    </row>
    <row r="23" spans="3:15" ht="11.25" customHeight="1" x14ac:dyDescent="0.2">
      <c r="C23" s="89" t="str">
        <f>'Detailné výkazy'!C7</f>
        <v xml:space="preserve">€  </v>
      </c>
      <c r="D23" s="89" t="str">
        <f>'Detailné výkazy'!C7</f>
        <v xml:space="preserve">€  </v>
      </c>
      <c r="E23" s="90" t="str">
        <f>E7</f>
        <v>FY19</v>
      </c>
      <c r="F23" s="90" t="str">
        <f>F7</f>
        <v>FY20</v>
      </c>
      <c r="G23" s="90" t="str">
        <f>G7</f>
        <v>FY21</v>
      </c>
      <c r="H23" s="90" t="str">
        <f>H7</f>
        <v>FY22</v>
      </c>
      <c r="I23" s="91" t="str">
        <f>I7</f>
        <v>FY23</v>
      </c>
      <c r="K23" s="2"/>
      <c r="L23" s="2"/>
      <c r="M23" s="2"/>
      <c r="N23" s="2"/>
      <c r="O23" s="2"/>
    </row>
    <row r="24" spans="3:15" ht="11.25" customHeight="1" x14ac:dyDescent="0.2">
      <c r="C24" s="92" t="s">
        <v>759</v>
      </c>
      <c r="D24" s="92" t="s">
        <v>688</v>
      </c>
      <c r="E24" s="218">
        <f>SUM(E25:E27)</f>
        <v>0</v>
      </c>
      <c r="F24" s="218">
        <f>SUM(F25:F27)</f>
        <v>0</v>
      </c>
      <c r="G24" s="218">
        <f>SUM(G25:G27)</f>
        <v>0</v>
      </c>
      <c r="H24" s="218">
        <f>SUM(H25:H27)</f>
        <v>0</v>
      </c>
      <c r="I24" s="219">
        <f>SUM(I25:I27)</f>
        <v>0</v>
      </c>
      <c r="K24" s="2"/>
      <c r="L24" s="2"/>
      <c r="M24" s="2"/>
      <c r="N24" s="2"/>
      <c r="O24" s="2"/>
    </row>
    <row r="25" spans="3:15" ht="11.25" customHeight="1" x14ac:dyDescent="0.2">
      <c r="C25" s="93" t="s">
        <v>95</v>
      </c>
      <c r="D25" s="93" t="s">
        <v>96</v>
      </c>
      <c r="E25" s="196">
        <f>'Detailné výkazy'!E75</f>
        <v>0</v>
      </c>
      <c r="F25" s="196">
        <f>'Detailné výkazy'!F75</f>
        <v>0</v>
      </c>
      <c r="G25" s="196">
        <f>'Detailné výkazy'!G75</f>
        <v>0</v>
      </c>
      <c r="H25" s="196">
        <f>'Detailné výkazy'!H75</f>
        <v>0</v>
      </c>
      <c r="I25" s="220">
        <f>'Detailné výkazy'!I75</f>
        <v>0</v>
      </c>
      <c r="M25" s="2"/>
      <c r="N25" s="2"/>
      <c r="O25" s="2"/>
    </row>
    <row r="26" spans="3:15" ht="11.25" customHeight="1" x14ac:dyDescent="0.2">
      <c r="C26" s="93" t="s">
        <v>97</v>
      </c>
      <c r="D26" s="93" t="s">
        <v>689</v>
      </c>
      <c r="E26" s="196">
        <f>'Detailné výkazy'!E76</f>
        <v>0</v>
      </c>
      <c r="F26" s="196">
        <f>'Detailné výkazy'!F76</f>
        <v>0</v>
      </c>
      <c r="G26" s="196">
        <f>'Detailné výkazy'!G76</f>
        <v>0</v>
      </c>
      <c r="H26" s="196">
        <f>'Detailné výkazy'!H76</f>
        <v>0</v>
      </c>
      <c r="I26" s="220">
        <f>'Detailné výkazy'!I76</f>
        <v>0</v>
      </c>
    </row>
    <row r="27" spans="3:15" ht="11.25" customHeight="1" x14ac:dyDescent="0.2">
      <c r="C27" s="93" t="s">
        <v>99</v>
      </c>
      <c r="D27" s="93" t="s">
        <v>690</v>
      </c>
      <c r="E27" s="196">
        <f>'Detailné výkazy'!E77</f>
        <v>0</v>
      </c>
      <c r="F27" s="196">
        <f>'Detailné výkazy'!F77</f>
        <v>0</v>
      </c>
      <c r="G27" s="196">
        <f>'Detailné výkazy'!G77</f>
        <v>0</v>
      </c>
      <c r="H27" s="196">
        <f>'Detailné výkazy'!H77</f>
        <v>0</v>
      </c>
      <c r="I27" s="196">
        <f>'Detailné výkazy'!I77</f>
        <v>0</v>
      </c>
      <c r="J27" s="292"/>
    </row>
    <row r="28" spans="3:15" ht="11.25" customHeight="1" x14ac:dyDescent="0.2">
      <c r="C28" s="94" t="s">
        <v>5</v>
      </c>
      <c r="D28" s="94" t="s">
        <v>691</v>
      </c>
      <c r="E28" s="221">
        <f>SUM(E29:E31)</f>
        <v>0</v>
      </c>
      <c r="F28" s="221">
        <f>SUM(F29:F31)</f>
        <v>0</v>
      </c>
      <c r="G28" s="221">
        <f>SUM(G29:G31)</f>
        <v>0</v>
      </c>
      <c r="H28" s="221">
        <f>SUM(H29:H31)</f>
        <v>0</v>
      </c>
      <c r="I28" s="221">
        <f>SUM(I29:I31)</f>
        <v>0</v>
      </c>
      <c r="J28" s="292"/>
    </row>
    <row r="29" spans="3:15" ht="11.25" customHeight="1" x14ac:dyDescent="0.2">
      <c r="C29" s="93" t="s">
        <v>107</v>
      </c>
      <c r="D29" s="93" t="s">
        <v>107</v>
      </c>
      <c r="E29" s="196">
        <f>'Detailné výkazy'!E82</f>
        <v>0</v>
      </c>
      <c r="F29" s="196">
        <f>'Detailné výkazy'!F82</f>
        <v>0</v>
      </c>
      <c r="G29" s="196">
        <f>'Detailné výkazy'!G82</f>
        <v>0</v>
      </c>
      <c r="H29" s="196">
        <f>'Detailné výkazy'!H82</f>
        <v>0</v>
      </c>
      <c r="I29" s="196">
        <f>'Detailné výkazy'!I82</f>
        <v>0</v>
      </c>
      <c r="J29" s="293"/>
    </row>
    <row r="30" spans="3:15" ht="11.25" customHeight="1" x14ac:dyDescent="0.2">
      <c r="C30" s="93" t="s">
        <v>108</v>
      </c>
      <c r="D30" s="93" t="s">
        <v>109</v>
      </c>
      <c r="E30" s="196">
        <f>'Detailné výkazy'!E83</f>
        <v>0</v>
      </c>
      <c r="F30" s="196">
        <f>'Detailné výkazy'!F83</f>
        <v>0</v>
      </c>
      <c r="G30" s="196">
        <f>'Detailné výkazy'!G83</f>
        <v>0</v>
      </c>
      <c r="H30" s="196">
        <f>'Detailné výkazy'!H83</f>
        <v>0</v>
      </c>
      <c r="I30" s="196">
        <f>'Detailné výkazy'!I83</f>
        <v>0</v>
      </c>
      <c r="J30" s="293"/>
    </row>
    <row r="31" spans="3:15" ht="11.25" customHeight="1" x14ac:dyDescent="0.2">
      <c r="C31" s="93" t="s">
        <v>110</v>
      </c>
      <c r="D31" s="93" t="s">
        <v>110</v>
      </c>
      <c r="E31" s="196">
        <f>'Detailné výkazy'!E84</f>
        <v>0</v>
      </c>
      <c r="F31" s="196">
        <f>'Detailné výkazy'!F84</f>
        <v>0</v>
      </c>
      <c r="G31" s="196">
        <f>'Detailné výkazy'!G84</f>
        <v>0</v>
      </c>
      <c r="H31" s="196">
        <f>'Detailné výkazy'!H84</f>
        <v>0</v>
      </c>
      <c r="I31" s="196">
        <f>'Detailné výkazy'!I84</f>
        <v>0</v>
      </c>
      <c r="J31" s="293"/>
    </row>
    <row r="32" spans="3:15" ht="11.25" customHeight="1" x14ac:dyDescent="0.2">
      <c r="C32" s="93" t="s">
        <v>760</v>
      </c>
      <c r="D32" s="93" t="s">
        <v>692</v>
      </c>
      <c r="E32" s="196">
        <f>'Detailné výkazy'!E79</f>
        <v>0</v>
      </c>
      <c r="F32" s="196">
        <f>'Detailné výkazy'!F79</f>
        <v>0</v>
      </c>
      <c r="G32" s="196">
        <f>'Detailné výkazy'!G79</f>
        <v>0</v>
      </c>
      <c r="H32" s="196">
        <f>'Detailné výkazy'!H79</f>
        <v>0</v>
      </c>
      <c r="I32" s="196">
        <f>'Detailné výkazy'!I79</f>
        <v>0</v>
      </c>
      <c r="J32" s="293"/>
    </row>
    <row r="33" spans="3:10" ht="11.25" customHeight="1" x14ac:dyDescent="0.2">
      <c r="C33" s="93" t="s">
        <v>761</v>
      </c>
      <c r="D33" s="93" t="s">
        <v>102</v>
      </c>
      <c r="E33" s="196">
        <f>'Detailné výkazy'!E78</f>
        <v>0</v>
      </c>
      <c r="F33" s="196">
        <f>'Detailné výkazy'!F78</f>
        <v>0</v>
      </c>
      <c r="G33" s="196">
        <f>'Detailné výkazy'!G78</f>
        <v>0</v>
      </c>
      <c r="H33" s="196">
        <f>'Detailné výkazy'!H78</f>
        <v>0</v>
      </c>
      <c r="I33" s="196">
        <f>'Detailné výkazy'!I78</f>
        <v>0</v>
      </c>
      <c r="J33" s="293"/>
    </row>
    <row r="34" spans="3:10" ht="11.25" customHeight="1" x14ac:dyDescent="0.2">
      <c r="C34" s="95" t="s">
        <v>762</v>
      </c>
      <c r="D34" s="95" t="s">
        <v>654</v>
      </c>
      <c r="E34" s="218">
        <f>E24+E28+E33+E32</f>
        <v>0</v>
      </c>
      <c r="F34" s="218">
        <f>F24+F28+F33+F32</f>
        <v>0</v>
      </c>
      <c r="G34" s="218">
        <f>G24+G28+G33+G32</f>
        <v>0</v>
      </c>
      <c r="H34" s="218">
        <f>H24+H28+H33+H32</f>
        <v>0</v>
      </c>
      <c r="I34" s="222">
        <f>I24+I28+I33+I32</f>
        <v>0</v>
      </c>
      <c r="J34" s="293"/>
    </row>
    <row r="35" spans="3:10" ht="11.25" customHeight="1" x14ac:dyDescent="0.2">
      <c r="C35" s="96"/>
      <c r="D35" s="96"/>
      <c r="E35" s="214"/>
      <c r="F35" s="214"/>
      <c r="G35" s="214"/>
      <c r="H35" s="214"/>
      <c r="I35" s="223"/>
    </row>
    <row r="36" spans="3:10" ht="11.25" customHeight="1" x14ac:dyDescent="0.2">
      <c r="C36" s="93" t="s">
        <v>763</v>
      </c>
      <c r="D36" s="93" t="s">
        <v>693</v>
      </c>
      <c r="E36" s="196">
        <f>'Skrátené výkazy'!E122</f>
        <v>0</v>
      </c>
      <c r="F36" s="196">
        <f>'Skrátené výkazy'!F122</f>
        <v>0</v>
      </c>
      <c r="G36" s="196">
        <f>'Skrátené výkazy'!G122</f>
        <v>0</v>
      </c>
      <c r="H36" s="196">
        <f>'Skrátené výkazy'!H122</f>
        <v>0</v>
      </c>
      <c r="I36" s="220">
        <f>'Skrátené výkazy'!I122</f>
        <v>0</v>
      </c>
    </row>
    <row r="37" spans="3:10" ht="11.25" customHeight="1" thickBot="1" x14ac:dyDescent="0.25">
      <c r="C37" s="97" t="s">
        <v>31</v>
      </c>
      <c r="D37" s="97" t="s">
        <v>79</v>
      </c>
      <c r="E37" s="216">
        <f>'Skrátené výkazy'!E37</f>
        <v>0</v>
      </c>
      <c r="F37" s="216">
        <f>'Skrátené výkazy'!F37</f>
        <v>0</v>
      </c>
      <c r="G37" s="216">
        <f>'Skrátené výkazy'!G37</f>
        <v>0</v>
      </c>
      <c r="H37" s="216">
        <f>'Skrátené výkazy'!H37</f>
        <v>0</v>
      </c>
      <c r="I37" s="224">
        <f>'Skrátené výkazy'!I37</f>
        <v>0</v>
      </c>
    </row>
    <row r="38" spans="3:10" ht="11.25" customHeight="1" x14ac:dyDescent="0.2">
      <c r="D38" s="176"/>
    </row>
    <row r="39" spans="3:10" ht="11.25" customHeight="1" x14ac:dyDescent="0.2">
      <c r="C39" s="458" t="s">
        <v>590</v>
      </c>
      <c r="D39" s="458" t="s">
        <v>590</v>
      </c>
      <c r="E39" s="177">
        <f>E34-SUM('Skrátené výkazy'!E70:E71)</f>
        <v>0</v>
      </c>
      <c r="F39" s="177">
        <f>F34-SUM('Skrátené výkazy'!F70:F71)</f>
        <v>0</v>
      </c>
      <c r="G39" s="177">
        <f>G34-SUM('Skrátené výkazy'!G70:G71)</f>
        <v>0</v>
      </c>
      <c r="H39" s="177">
        <f>H34-SUM('Skrátené výkazy'!H70:H71)</f>
        <v>0</v>
      </c>
      <c r="I39" s="177">
        <f>I34-SUM('Skrátené výkazy'!I70:I71)</f>
        <v>0</v>
      </c>
    </row>
    <row r="40" spans="3:10" ht="11.25" customHeight="1" x14ac:dyDescent="0.2"/>
    <row r="41" spans="3:10" ht="19.5" customHeight="1" x14ac:dyDescent="0.2">
      <c r="C41" s="88" t="s">
        <v>764</v>
      </c>
      <c r="D41" s="88" t="s">
        <v>695</v>
      </c>
      <c r="E41" s="98"/>
      <c r="F41" s="98"/>
      <c r="G41" s="98"/>
      <c r="H41" s="98"/>
      <c r="I41" s="99"/>
    </row>
    <row r="42" spans="3:10" ht="11.25" customHeight="1" x14ac:dyDescent="0.2">
      <c r="C42" s="92" t="str">
        <f>'Detailné výkazy'!C7</f>
        <v xml:space="preserve">€  </v>
      </c>
      <c r="D42" s="92" t="str">
        <f>'Detailné výkazy'!C7</f>
        <v xml:space="preserve">€  </v>
      </c>
      <c r="E42" s="100" t="str">
        <f>E7</f>
        <v>FY19</v>
      </c>
      <c r="F42" s="100" t="str">
        <f>F7</f>
        <v>FY20</v>
      </c>
      <c r="G42" s="100" t="str">
        <f>G7</f>
        <v>FY21</v>
      </c>
      <c r="H42" s="100" t="str">
        <f>H7</f>
        <v>FY22</v>
      </c>
      <c r="I42" s="101" t="str">
        <f>I7</f>
        <v>FY23</v>
      </c>
    </row>
    <row r="43" spans="3:10" ht="11.25" customHeight="1" x14ac:dyDescent="0.2">
      <c r="C43" s="102" t="s">
        <v>7</v>
      </c>
      <c r="D43" s="102" t="s">
        <v>116</v>
      </c>
      <c r="E43" s="214">
        <f>'Detailné výkazy'!E89</f>
        <v>0</v>
      </c>
      <c r="F43" s="214">
        <f>'Detailné výkazy'!F89</f>
        <v>0</v>
      </c>
      <c r="G43" s="214">
        <f>'Detailné výkazy'!G89</f>
        <v>0</v>
      </c>
      <c r="H43" s="214">
        <f>'Detailné výkazy'!H89</f>
        <v>0</v>
      </c>
      <c r="I43" s="225">
        <f>'Detailné výkazy'!I89</f>
        <v>0</v>
      </c>
    </row>
    <row r="44" spans="3:10" ht="11.25" customHeight="1" x14ac:dyDescent="0.2">
      <c r="C44" s="93" t="s">
        <v>765</v>
      </c>
      <c r="D44" s="93" t="s">
        <v>647</v>
      </c>
      <c r="E44" s="196">
        <f>'Detailné výkazy'!E90+'Detailné výkazy'!E91</f>
        <v>0</v>
      </c>
      <c r="F44" s="196">
        <f>'Detailné výkazy'!F90+'Detailné výkazy'!F91</f>
        <v>0</v>
      </c>
      <c r="G44" s="196">
        <f>'Detailné výkazy'!G90+'Detailné výkazy'!G91</f>
        <v>0</v>
      </c>
      <c r="H44" s="196">
        <f>'Detailné výkazy'!H90+'Detailné výkazy'!H91</f>
        <v>0</v>
      </c>
      <c r="I44" s="226">
        <f>'Detailné výkazy'!I90+'Detailné výkazy'!I91</f>
        <v>0</v>
      </c>
    </row>
    <row r="45" spans="3:10" ht="11.25" customHeight="1" x14ac:dyDescent="0.2">
      <c r="C45" s="93" t="s">
        <v>38</v>
      </c>
      <c r="D45" s="93" t="s">
        <v>138</v>
      </c>
      <c r="E45" s="196">
        <f>'Detailné výkazy'!E100+'Detailné výkazy'!E106</f>
        <v>0</v>
      </c>
      <c r="F45" s="196">
        <f>'Detailné výkazy'!F100+'Detailné výkazy'!F106</f>
        <v>0</v>
      </c>
      <c r="G45" s="196">
        <f>'Detailné výkazy'!G100+'Detailné výkazy'!G106</f>
        <v>0</v>
      </c>
      <c r="H45" s="196">
        <f>'Detailné výkazy'!H100+'Detailné výkazy'!H106</f>
        <v>0</v>
      </c>
      <c r="I45" s="226">
        <f>'Detailné výkazy'!I100+'Detailné výkazy'!I106</f>
        <v>0</v>
      </c>
    </row>
    <row r="46" spans="3:10" ht="11.25" customHeight="1" x14ac:dyDescent="0.2">
      <c r="C46" s="95" t="s">
        <v>766</v>
      </c>
      <c r="D46" s="95" t="s">
        <v>696</v>
      </c>
      <c r="E46" s="218">
        <f>SUM(E43:E44)-E45</f>
        <v>0</v>
      </c>
      <c r="F46" s="218">
        <f>SUM(F43:F44)-F45</f>
        <v>0</v>
      </c>
      <c r="G46" s="218">
        <f>SUM(G43:G44)-G45</f>
        <v>0</v>
      </c>
      <c r="H46" s="218">
        <f>SUM(H43:H44)-H45</f>
        <v>0</v>
      </c>
      <c r="I46" s="227">
        <f>SUM(I43:I44)-I45</f>
        <v>0</v>
      </c>
    </row>
    <row r="47" spans="3:10" ht="11.25" customHeight="1" x14ac:dyDescent="0.2">
      <c r="C47" s="104" t="s">
        <v>767</v>
      </c>
      <c r="D47" s="104" t="s">
        <v>697</v>
      </c>
      <c r="E47" s="105">
        <f>IFERROR(E46/E$8,0)</f>
        <v>0</v>
      </c>
      <c r="F47" s="105">
        <f t="shared" ref="F47:I47" si="3">IFERROR(F46/F$8,0)</f>
        <v>0</v>
      </c>
      <c r="G47" s="105">
        <f t="shared" si="3"/>
        <v>0</v>
      </c>
      <c r="H47" s="105">
        <f t="shared" si="3"/>
        <v>0</v>
      </c>
      <c r="I47" s="106">
        <f t="shared" si="3"/>
        <v>0</v>
      </c>
    </row>
    <row r="48" spans="3:10" ht="11.25" customHeight="1" x14ac:dyDescent="0.2">
      <c r="C48" s="93"/>
      <c r="D48" s="93"/>
      <c r="E48" s="76"/>
      <c r="F48" s="76"/>
      <c r="G48" s="76"/>
      <c r="H48" s="76"/>
      <c r="I48" s="103"/>
    </row>
    <row r="49" spans="3:9" ht="11.25" customHeight="1" x14ac:dyDescent="0.2">
      <c r="C49" s="93" t="s">
        <v>768</v>
      </c>
      <c r="D49" s="93" t="s">
        <v>454</v>
      </c>
      <c r="E49" s="196">
        <f>-'Detailné výkazy'!E109</f>
        <v>0</v>
      </c>
      <c r="F49" s="196">
        <f>-'Detailné výkazy'!F109</f>
        <v>0</v>
      </c>
      <c r="G49" s="196">
        <f>-'Detailné výkazy'!G109</f>
        <v>0</v>
      </c>
      <c r="H49" s="196">
        <f>-'Detailné výkazy'!H109</f>
        <v>0</v>
      </c>
      <c r="I49" s="226">
        <f>-'Detailné výkazy'!I109</f>
        <v>0</v>
      </c>
    </row>
    <row r="50" spans="3:9" ht="11.25" customHeight="1" x14ac:dyDescent="0.2">
      <c r="C50" s="93" t="s">
        <v>769</v>
      </c>
      <c r="D50" s="93" t="s">
        <v>698</v>
      </c>
      <c r="E50" s="196">
        <f>'Detailné výkazy'!E87-'Detailné výkazy'!E103-'Detailné výkazy'!E110-'Detailné výkazy'!E118</f>
        <v>0</v>
      </c>
      <c r="F50" s="196">
        <f>'Detailné výkazy'!F87-'Detailné výkazy'!F103-'Detailné výkazy'!F110-'Detailné výkazy'!F118</f>
        <v>0</v>
      </c>
      <c r="G50" s="196">
        <f>'Detailné výkazy'!G87-'Detailné výkazy'!G103-'Detailné výkazy'!G110-'Detailné výkazy'!G118</f>
        <v>0</v>
      </c>
      <c r="H50" s="196">
        <f>'Detailné výkazy'!H87-'Detailné výkazy'!H103-'Detailné výkazy'!H110-'Detailné výkazy'!H118</f>
        <v>0</v>
      </c>
      <c r="I50" s="226">
        <f>'Detailné výkazy'!I87-'Detailné výkazy'!I103-'Detailné výkazy'!I110-'Detailné výkazy'!I118</f>
        <v>0</v>
      </c>
    </row>
    <row r="51" spans="3:9" ht="11.25" customHeight="1" x14ac:dyDescent="0.2">
      <c r="C51" s="94" t="s">
        <v>770</v>
      </c>
      <c r="D51" s="94" t="s">
        <v>699</v>
      </c>
      <c r="E51" s="221">
        <f>E52+E53+E54+E55+E56</f>
        <v>0</v>
      </c>
      <c r="F51" s="221">
        <f t="shared" ref="F51:I51" si="4">F52+F53+F54+F55+F56</f>
        <v>0</v>
      </c>
      <c r="G51" s="221">
        <f t="shared" si="4"/>
        <v>0</v>
      </c>
      <c r="H51" s="221">
        <f t="shared" si="4"/>
        <v>0</v>
      </c>
      <c r="I51" s="228">
        <f t="shared" si="4"/>
        <v>0</v>
      </c>
    </row>
    <row r="52" spans="3:9" ht="11.25" customHeight="1" x14ac:dyDescent="0.2">
      <c r="C52" s="191" t="s">
        <v>771</v>
      </c>
      <c r="D52" s="191" t="s">
        <v>785</v>
      </c>
      <c r="E52" s="196">
        <f>'Detailné výkazy'!E92+'Detailné výkazy'!E93</f>
        <v>0</v>
      </c>
      <c r="F52" s="196">
        <f>'Detailné výkazy'!F92+'Detailné výkazy'!F93</f>
        <v>0</v>
      </c>
      <c r="G52" s="196">
        <f>'Detailné výkazy'!G92+'Detailné výkazy'!G93</f>
        <v>0</v>
      </c>
      <c r="H52" s="196">
        <f>'Detailné výkazy'!H92+'Detailné výkazy'!H93</f>
        <v>0</v>
      </c>
      <c r="I52" s="226">
        <f>'Detailné výkazy'!I92+'Detailné výkazy'!I93</f>
        <v>0</v>
      </c>
    </row>
    <row r="53" spans="3:9" ht="11.25" customHeight="1" x14ac:dyDescent="0.2">
      <c r="C53" s="191" t="s">
        <v>772</v>
      </c>
      <c r="D53" s="191" t="s">
        <v>786</v>
      </c>
      <c r="E53" s="196">
        <f>'Detailné výkazy'!E95+'Detailné výkazy'!E97</f>
        <v>0</v>
      </c>
      <c r="F53" s="196">
        <f>'Detailné výkazy'!F95+'Detailné výkazy'!F97</f>
        <v>0</v>
      </c>
      <c r="G53" s="196">
        <f>'Detailné výkazy'!G95+'Detailné výkazy'!G97</f>
        <v>0</v>
      </c>
      <c r="H53" s="196">
        <f>'Detailné výkazy'!H95+'Detailné výkazy'!H97</f>
        <v>0</v>
      </c>
      <c r="I53" s="226">
        <f>'Detailné výkazy'!I95+'Detailné výkazy'!I97</f>
        <v>0</v>
      </c>
    </row>
    <row r="54" spans="3:9" ht="11.25" customHeight="1" x14ac:dyDescent="0.2">
      <c r="C54" s="191" t="s">
        <v>773</v>
      </c>
      <c r="D54" s="191" t="s">
        <v>787</v>
      </c>
      <c r="E54" s="196">
        <f>-'Detailné výkazy'!E101-'Detailné výkazy'!E102</f>
        <v>0</v>
      </c>
      <c r="F54" s="196">
        <f>-'Detailné výkazy'!F101-'Detailné výkazy'!F102</f>
        <v>0</v>
      </c>
      <c r="G54" s="196">
        <f>-'Detailné výkazy'!G101-'Detailné výkazy'!G102</f>
        <v>0</v>
      </c>
      <c r="H54" s="196">
        <f>-'Detailné výkazy'!H101-'Detailné výkazy'!H102</f>
        <v>0</v>
      </c>
      <c r="I54" s="226">
        <f>-'Detailné výkazy'!I101-'Detailné výkazy'!I102</f>
        <v>0</v>
      </c>
    </row>
    <row r="55" spans="3:9" ht="11.25" customHeight="1" x14ac:dyDescent="0.2">
      <c r="C55" s="191" t="s">
        <v>774</v>
      </c>
      <c r="D55" s="191" t="s">
        <v>788</v>
      </c>
      <c r="E55" s="196">
        <f>-'Detailné výkazy'!E107-'Detailné výkazy'!E108</f>
        <v>0</v>
      </c>
      <c r="F55" s="196">
        <f>-'Detailné výkazy'!F107-'Detailné výkazy'!F108</f>
        <v>0</v>
      </c>
      <c r="G55" s="196">
        <f>-'Detailné výkazy'!G107-'Detailné výkazy'!G108</f>
        <v>0</v>
      </c>
      <c r="H55" s="196">
        <f>-'Detailné výkazy'!H107-'Detailné výkazy'!H108</f>
        <v>0</v>
      </c>
      <c r="I55" s="226">
        <f>-'Detailné výkazy'!I107-'Detailné výkazy'!I108</f>
        <v>0</v>
      </c>
    </row>
    <row r="56" spans="3:9" ht="11.25" customHeight="1" x14ac:dyDescent="0.2">
      <c r="C56" s="191" t="s">
        <v>775</v>
      </c>
      <c r="D56" s="191" t="s">
        <v>789</v>
      </c>
      <c r="E56" s="196">
        <f>-'Detailné výkazy'!E116</f>
        <v>0</v>
      </c>
      <c r="F56" s="196">
        <f>-'Detailné výkazy'!F116</f>
        <v>0</v>
      </c>
      <c r="G56" s="196">
        <f>-'Detailné výkazy'!G116</f>
        <v>0</v>
      </c>
      <c r="H56" s="196">
        <f>-'Detailné výkazy'!H116</f>
        <v>0</v>
      </c>
      <c r="I56" s="226">
        <f>-'Detailné výkazy'!I116</f>
        <v>0</v>
      </c>
    </row>
    <row r="57" spans="3:9" ht="11.25" customHeight="1" x14ac:dyDescent="0.2">
      <c r="C57" s="95" t="s">
        <v>776</v>
      </c>
      <c r="D57" s="95" t="s">
        <v>700</v>
      </c>
      <c r="E57" s="218">
        <f>E46+E49+E50+E51</f>
        <v>0</v>
      </c>
      <c r="F57" s="218">
        <f>F46+F49+F50+F51</f>
        <v>0</v>
      </c>
      <c r="G57" s="218">
        <f>G46+G49+G50+G51</f>
        <v>0</v>
      </c>
      <c r="H57" s="218">
        <f>H46+H49+H50+H51</f>
        <v>0</v>
      </c>
      <c r="I57" s="227">
        <f>I46+I49+I50+I51</f>
        <v>0</v>
      </c>
    </row>
    <row r="58" spans="3:9" ht="11.25" customHeight="1" x14ac:dyDescent="0.2">
      <c r="C58" s="102" t="s">
        <v>777</v>
      </c>
      <c r="D58" s="102" t="s">
        <v>790</v>
      </c>
      <c r="E58" s="214">
        <f>E46-'Čisté aktíva'!E22</f>
        <v>0</v>
      </c>
      <c r="F58" s="214">
        <f>F46-'Čisté aktíva'!F22</f>
        <v>0</v>
      </c>
      <c r="G58" s="214">
        <f>G46-'Čisté aktíva'!G22</f>
        <v>0</v>
      </c>
      <c r="H58" s="214">
        <f>H46-'Čisté aktíva'!H22</f>
        <v>0</v>
      </c>
      <c r="I58" s="225">
        <f>I46-'Čisté aktíva'!I22</f>
        <v>0</v>
      </c>
    </row>
    <row r="59" spans="3:9" ht="11.25" customHeight="1" x14ac:dyDescent="0.2">
      <c r="C59" s="93" t="s">
        <v>778</v>
      </c>
      <c r="D59" s="93" t="s">
        <v>791</v>
      </c>
      <c r="E59" s="196">
        <f>E57-('Čisté aktíva'!E26+'Čisté aktíva'!E32)</f>
        <v>0</v>
      </c>
      <c r="F59" s="196">
        <f>F57-('Čisté aktíva'!F26+'Čisté aktíva'!F32)</f>
        <v>0</v>
      </c>
      <c r="G59" s="196">
        <f>G57-('Čisté aktíva'!G26+'Čisté aktíva'!G32)</f>
        <v>0</v>
      </c>
      <c r="H59" s="196">
        <f>H57-('Čisté aktíva'!H26+'Čisté aktíva'!H32)</f>
        <v>0</v>
      </c>
      <c r="I59" s="226">
        <f>I57-('Čisté aktíva'!I26+'Čisté aktíva'!I32)</f>
        <v>0</v>
      </c>
    </row>
    <row r="60" spans="3:9" ht="11.25" customHeight="1" x14ac:dyDescent="0.2">
      <c r="C60" s="93"/>
      <c r="D60" s="93"/>
      <c r="E60" s="221"/>
      <c r="F60" s="221"/>
      <c r="G60" s="221"/>
      <c r="H60" s="221"/>
      <c r="I60" s="228"/>
    </row>
    <row r="61" spans="3:9" ht="11.25" customHeight="1" x14ac:dyDescent="0.2">
      <c r="C61" s="95" t="s">
        <v>779</v>
      </c>
      <c r="D61" s="95" t="s">
        <v>702</v>
      </c>
      <c r="E61" s="214"/>
      <c r="F61" s="214"/>
      <c r="G61" s="214"/>
      <c r="H61" s="214"/>
      <c r="I61" s="225"/>
    </row>
    <row r="62" spans="3:9" ht="11.25" customHeight="1" x14ac:dyDescent="0.2">
      <c r="C62" s="93" t="s">
        <v>7</v>
      </c>
      <c r="D62" s="93" t="s">
        <v>116</v>
      </c>
      <c r="E62" s="196">
        <f>IFERROR((E43/-SUM(E74:E76)*365),0)</f>
        <v>0</v>
      </c>
      <c r="F62" s="196">
        <f t="shared" ref="F62:I62" si="5">IFERROR((F43/-SUM(F74:F76)*365),0)</f>
        <v>0</v>
      </c>
      <c r="G62" s="196">
        <f t="shared" si="5"/>
        <v>0</v>
      </c>
      <c r="H62" s="196">
        <f t="shared" si="5"/>
        <v>0</v>
      </c>
      <c r="I62" s="226">
        <f t="shared" si="5"/>
        <v>0</v>
      </c>
    </row>
    <row r="63" spans="3:9" ht="11.25" customHeight="1" x14ac:dyDescent="0.2">
      <c r="C63" s="93" t="s">
        <v>765</v>
      </c>
      <c r="D63" s="93" t="s">
        <v>647</v>
      </c>
      <c r="E63" s="196">
        <f>IFERROR((E44/SUM(E71:E73)*365),0)</f>
        <v>0</v>
      </c>
      <c r="F63" s="196">
        <f t="shared" ref="F63:I63" si="6">IFERROR((F44/SUM(F71:F73)*365),0)</f>
        <v>0</v>
      </c>
      <c r="G63" s="196">
        <f t="shared" si="6"/>
        <v>0</v>
      </c>
      <c r="H63" s="196">
        <f t="shared" si="6"/>
        <v>0</v>
      </c>
      <c r="I63" s="226">
        <f t="shared" si="6"/>
        <v>0</v>
      </c>
    </row>
    <row r="64" spans="3:9" ht="11.25" customHeight="1" x14ac:dyDescent="0.2">
      <c r="C64" s="93" t="s">
        <v>38</v>
      </c>
      <c r="D64" s="93" t="s">
        <v>138</v>
      </c>
      <c r="E64" s="196">
        <f>IFERROR((E45/-SUM(E77,E74:E75)*365),0)</f>
        <v>0</v>
      </c>
      <c r="F64" s="196">
        <f t="shared" ref="F64:I64" si="7">IFERROR((F45/-SUM(F77,F74:F75)*365),0)</f>
        <v>0</v>
      </c>
      <c r="G64" s="196">
        <f t="shared" si="7"/>
        <v>0</v>
      </c>
      <c r="H64" s="196">
        <f t="shared" si="7"/>
        <v>0</v>
      </c>
      <c r="I64" s="226">
        <f t="shared" si="7"/>
        <v>0</v>
      </c>
    </row>
    <row r="65" spans="3:9" ht="11.25" customHeight="1" thickBot="1" x14ac:dyDescent="0.25">
      <c r="C65" s="107" t="s">
        <v>780</v>
      </c>
      <c r="D65" s="107" t="s">
        <v>701</v>
      </c>
      <c r="E65" s="229">
        <f>E62+E63-E64</f>
        <v>0</v>
      </c>
      <c r="F65" s="229">
        <f>F62+F63-F64</f>
        <v>0</v>
      </c>
      <c r="G65" s="229">
        <f>G62+G63-G64</f>
        <v>0</v>
      </c>
      <c r="H65" s="229">
        <f>H62+H63-H64</f>
        <v>0</v>
      </c>
      <c r="I65" s="230">
        <f>I62+I63-I64</f>
        <v>0</v>
      </c>
    </row>
    <row r="66" spans="3:9" ht="11.25" customHeight="1" x14ac:dyDescent="0.2"/>
    <row r="67" spans="3:9" ht="11.25" customHeight="1" x14ac:dyDescent="0.2"/>
    <row r="68" spans="3:9" ht="11.25" customHeight="1" x14ac:dyDescent="0.2"/>
    <row r="69" spans="3:9" ht="19.5" customHeight="1" x14ac:dyDescent="0.2">
      <c r="C69" s="422" t="s">
        <v>781</v>
      </c>
      <c r="D69" s="423" t="s">
        <v>784</v>
      </c>
      <c r="E69" s="423"/>
      <c r="F69" s="423"/>
      <c r="G69" s="423"/>
      <c r="H69" s="423"/>
      <c r="I69" s="424"/>
    </row>
    <row r="70" spans="3:9" ht="11.25" customHeight="1" x14ac:dyDescent="0.2">
      <c r="C70" s="344" t="str">
        <f>D42</f>
        <v xml:space="preserve">€  </v>
      </c>
      <c r="D70" s="426" t="str">
        <f>D42</f>
        <v xml:space="preserve">€  </v>
      </c>
      <c r="E70" s="346" t="str">
        <f>E7</f>
        <v>FY19</v>
      </c>
      <c r="F70" s="346" t="str">
        <f>F7</f>
        <v>FY20</v>
      </c>
      <c r="G70" s="346" t="str">
        <f>G7</f>
        <v>FY21</v>
      </c>
      <c r="H70" s="346" t="str">
        <f>H7</f>
        <v>FY22</v>
      </c>
      <c r="I70" s="347" t="str">
        <f>I7</f>
        <v>FY23</v>
      </c>
    </row>
    <row r="71" spans="3:9" ht="11.25" customHeight="1" x14ac:dyDescent="0.2">
      <c r="C71" s="425" t="s">
        <v>19</v>
      </c>
      <c r="D71" s="192" t="s">
        <v>45</v>
      </c>
      <c r="E71" s="231">
        <f>'Detailné výkazy'!E11</f>
        <v>0</v>
      </c>
      <c r="F71" s="231">
        <f>'Detailné výkazy'!F11</f>
        <v>0</v>
      </c>
      <c r="G71" s="231">
        <f>'Detailné výkazy'!G11</f>
        <v>0</v>
      </c>
      <c r="H71" s="231">
        <f>'Detailné výkazy'!H11</f>
        <v>0</v>
      </c>
      <c r="I71" s="366">
        <f>'Detailné výkazy'!I11</f>
        <v>0</v>
      </c>
    </row>
    <row r="72" spans="3:9" ht="11.25" customHeight="1" x14ac:dyDescent="0.2">
      <c r="C72" s="425" t="s">
        <v>792</v>
      </c>
      <c r="D72" s="192" t="s">
        <v>745</v>
      </c>
      <c r="E72" s="231">
        <f>'Detailné výkazy'!E37</f>
        <v>0</v>
      </c>
      <c r="F72" s="231">
        <f>'Detailné výkazy'!F37</f>
        <v>0</v>
      </c>
      <c r="G72" s="231">
        <f>'Detailné výkazy'!G37</f>
        <v>0</v>
      </c>
      <c r="H72" s="231">
        <f>'Detailné výkazy'!H37</f>
        <v>0</v>
      </c>
      <c r="I72" s="366">
        <f>'Detailné výkazy'!I37</f>
        <v>0</v>
      </c>
    </row>
    <row r="73" spans="3:9" ht="11.25" customHeight="1" x14ac:dyDescent="0.2">
      <c r="C73" s="425" t="s">
        <v>604</v>
      </c>
      <c r="D73" s="192" t="s">
        <v>746</v>
      </c>
      <c r="E73" s="231">
        <f>'Detailné výkazy'!E41</f>
        <v>0</v>
      </c>
      <c r="F73" s="231">
        <f>'Detailné výkazy'!F41</f>
        <v>0</v>
      </c>
      <c r="G73" s="231">
        <f>'Detailné výkazy'!G41</f>
        <v>0</v>
      </c>
      <c r="H73" s="231">
        <f>'Detailné výkazy'!H41</f>
        <v>0</v>
      </c>
      <c r="I73" s="366">
        <f>'Detailné výkazy'!I41</f>
        <v>0</v>
      </c>
    </row>
    <row r="74" spans="3:9" ht="11.25" customHeight="1" x14ac:dyDescent="0.2">
      <c r="C74" s="425" t="s">
        <v>607</v>
      </c>
      <c r="D74" s="192" t="s">
        <v>607</v>
      </c>
      <c r="E74" s="231">
        <f>'Skrátené výkazy'!E14</f>
        <v>0</v>
      </c>
      <c r="F74" s="231">
        <f>'Skrátené výkazy'!F14</f>
        <v>0</v>
      </c>
      <c r="G74" s="231">
        <f>'Skrátené výkazy'!G14</f>
        <v>0</v>
      </c>
      <c r="H74" s="231">
        <f>'Skrátené výkazy'!H14</f>
        <v>0</v>
      </c>
      <c r="I74" s="366">
        <f>'Skrátené výkazy'!I14</f>
        <v>0</v>
      </c>
    </row>
    <row r="75" spans="3:9" ht="11.25" customHeight="1" x14ac:dyDescent="0.2">
      <c r="C75" s="425" t="s">
        <v>782</v>
      </c>
      <c r="D75" s="192" t="s">
        <v>747</v>
      </c>
      <c r="E75" s="231">
        <f>'Skrátené výkazy'!E15</f>
        <v>0</v>
      </c>
      <c r="F75" s="231">
        <f>'Skrátené výkazy'!F15</f>
        <v>0</v>
      </c>
      <c r="G75" s="231">
        <f>'Skrátené výkazy'!G15</f>
        <v>0</v>
      </c>
      <c r="H75" s="231">
        <f>'Skrátené výkazy'!H15</f>
        <v>0</v>
      </c>
      <c r="I75" s="366">
        <f>'Skrátené výkazy'!I15</f>
        <v>0</v>
      </c>
    </row>
    <row r="76" spans="3:9" ht="11.25" customHeight="1" x14ac:dyDescent="0.2">
      <c r="C76" s="425" t="s">
        <v>783</v>
      </c>
      <c r="D76" s="192" t="s">
        <v>54</v>
      </c>
      <c r="E76" s="231">
        <f>'Skrátené výkazy'!E16</f>
        <v>0</v>
      </c>
      <c r="F76" s="231">
        <f>'Skrátené výkazy'!F16</f>
        <v>0</v>
      </c>
      <c r="G76" s="231">
        <f>'Skrátené výkazy'!G16</f>
        <v>0</v>
      </c>
      <c r="H76" s="231">
        <f>'Skrátené výkazy'!H16</f>
        <v>0</v>
      </c>
      <c r="I76" s="366">
        <f>'Skrátené výkazy'!I16</f>
        <v>0</v>
      </c>
    </row>
    <row r="77" spans="3:9" ht="11.25" customHeight="1" thickBot="1" x14ac:dyDescent="0.25">
      <c r="C77" s="427" t="s">
        <v>25</v>
      </c>
      <c r="D77" s="428" t="s">
        <v>53</v>
      </c>
      <c r="E77" s="429">
        <f>'Skrátené výkazy'!E24</f>
        <v>0</v>
      </c>
      <c r="F77" s="429">
        <f>'Skrátené výkazy'!F24</f>
        <v>0</v>
      </c>
      <c r="G77" s="429">
        <f>'Skrátené výkazy'!G24</f>
        <v>0</v>
      </c>
      <c r="H77" s="429">
        <f>'Skrátené výkazy'!H24</f>
        <v>0</v>
      </c>
      <c r="I77" s="430">
        <f>'Skrátené výkazy'!I24</f>
        <v>0</v>
      </c>
    </row>
    <row r="89" spans="8:9" ht="12" customHeight="1" x14ac:dyDescent="0.2"/>
    <row r="90" spans="8:9" ht="12" customHeight="1" x14ac:dyDescent="0.2"/>
    <row r="94" spans="8:9" x14ac:dyDescent="0.2">
      <c r="H94" s="178"/>
      <c r="I94" s="179"/>
    </row>
    <row r="95" spans="8:9" x14ac:dyDescent="0.2">
      <c r="I95" s="179"/>
    </row>
    <row r="96" spans="8:9" ht="12" customHeight="1" x14ac:dyDescent="0.2">
      <c r="I96" s="179"/>
    </row>
    <row r="97" spans="4:9" ht="12" customHeight="1" x14ac:dyDescent="0.2">
      <c r="I97" s="179"/>
    </row>
    <row r="98" spans="4:9" x14ac:dyDescent="0.2">
      <c r="E98" s="179"/>
      <c r="F98" s="178"/>
      <c r="G98" s="179"/>
      <c r="H98" s="178"/>
      <c r="I98" s="179"/>
    </row>
    <row r="99" spans="4:9" x14ac:dyDescent="0.2">
      <c r="D99" s="180"/>
      <c r="E99" s="179"/>
      <c r="F99" s="178"/>
      <c r="G99" s="179"/>
      <c r="H99" s="178"/>
      <c r="I99" s="179"/>
    </row>
    <row r="100" spans="4:9" x14ac:dyDescent="0.2">
      <c r="D100" s="180"/>
      <c r="E100" s="179"/>
      <c r="F100" s="179"/>
      <c r="G100" s="179"/>
      <c r="H100" s="179"/>
      <c r="I100" s="179"/>
    </row>
    <row r="101" spans="4:9" x14ac:dyDescent="0.2">
      <c r="D101" s="180"/>
      <c r="E101" s="179"/>
      <c r="F101" s="179"/>
      <c r="G101" s="179"/>
      <c r="H101" s="179"/>
      <c r="I101" s="179"/>
    </row>
    <row r="102" spans="4:9" x14ac:dyDescent="0.2">
      <c r="D102" s="180"/>
      <c r="E102" s="181"/>
      <c r="F102" s="181"/>
      <c r="G102" s="181"/>
      <c r="H102" s="181"/>
      <c r="I102" s="181"/>
    </row>
    <row r="103" spans="4:9" x14ac:dyDescent="0.2">
      <c r="D103" s="180"/>
      <c r="E103" s="181"/>
      <c r="F103" s="181"/>
      <c r="G103" s="181"/>
      <c r="H103" s="181"/>
      <c r="I103" s="181"/>
    </row>
    <row r="104" spans="4:9" x14ac:dyDescent="0.2">
      <c r="D104" s="180"/>
      <c r="E104" s="181"/>
      <c r="F104" s="181"/>
      <c r="G104" s="181"/>
      <c r="H104" s="181"/>
      <c r="I104" s="181"/>
    </row>
    <row r="105" spans="4:9" x14ac:dyDescent="0.2">
      <c r="D105" s="180"/>
      <c r="E105" s="181"/>
      <c r="F105" s="181"/>
      <c r="G105" s="181"/>
      <c r="H105" s="181"/>
      <c r="I105" s="181"/>
    </row>
    <row r="106" spans="4:9" x14ac:dyDescent="0.2">
      <c r="D106" s="180"/>
      <c r="E106" s="181"/>
      <c r="F106" s="181"/>
      <c r="G106" s="181"/>
      <c r="H106" s="181"/>
      <c r="I106" s="181"/>
    </row>
  </sheetData>
  <conditionalFormatting sqref="C39:I39">
    <cfRule type="expression" dxfId="0" priority="1">
      <formula>SUM($E$39:$I$39)=0</formula>
    </cfRule>
  </conditionalFormatting>
  <dataValidations count="1">
    <dataValidation type="list" allowBlank="1" showInputMessage="1" showErrorMessage="1" sqref="L8:L9" xr:uid="{511C613A-193F-4BD3-B57B-400AF8699A2B}">
      <formula1>$O$8:$O$12</formula1>
    </dataValidation>
  </dataValidations>
  <pageMargins left="0.7" right="0.7" top="0.75" bottom="0.75" header="0.3" footer="0.3"/>
  <pageSetup paperSize="9" orientation="portrait" r:id="rId1"/>
  <headerFooter>
    <oddFooter>&amp;C&amp;7&amp;B&amp;"Arial"Document Classification: KPMG Confidential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82EB7F-0271-4D0D-85E7-166468F73A3D}">
  <sheetPr>
    <tabColor rgb="FF0000FF"/>
  </sheetPr>
  <dimension ref="A1:N55"/>
  <sheetViews>
    <sheetView showGridLines="0" workbookViewId="0">
      <selection activeCell="F24" sqref="F24"/>
    </sheetView>
  </sheetViews>
  <sheetFormatPr defaultColWidth="0" defaultRowHeight="11.25" zeroHeight="1" x14ac:dyDescent="0.2"/>
  <cols>
    <col min="1" max="1" width="4.7109375" style="934" customWidth="1"/>
    <col min="2" max="13" width="8.85546875" style="934" customWidth="1"/>
    <col min="14" max="14" width="4.7109375" style="934" customWidth="1"/>
    <col min="15" max="16384" width="8.85546875" style="934" hidden="1"/>
  </cols>
  <sheetData>
    <row r="1" spans="1:14" x14ac:dyDescent="0.2">
      <c r="A1" s="190"/>
      <c r="B1" s="190"/>
      <c r="C1" s="190"/>
      <c r="D1" s="190"/>
      <c r="E1" s="190"/>
      <c r="F1" s="190"/>
      <c r="G1" s="190"/>
      <c r="H1" s="190"/>
      <c r="I1" s="190"/>
      <c r="J1" s="190"/>
      <c r="K1" s="190"/>
      <c r="L1" s="190"/>
      <c r="M1" s="190"/>
      <c r="N1" s="190"/>
    </row>
    <row r="2" spans="1:14" ht="12" x14ac:dyDescent="0.2">
      <c r="A2" s="190"/>
      <c r="B2" s="374" t="str">
        <f>CONCATENATE("Predpoklady a výpočty: ",Aktíva!D1)</f>
        <v>Predpoklady a výpočty: XXY s.r.o.</v>
      </c>
      <c r="C2" s="545"/>
      <c r="D2" s="190"/>
      <c r="E2" s="190"/>
      <c r="F2" s="190"/>
      <c r="G2" s="190"/>
      <c r="H2" s="694">
        <f>'Predpoklady-XYZ'!D14</f>
        <v>2022</v>
      </c>
      <c r="I2" s="694">
        <f>H2+1</f>
        <v>2023</v>
      </c>
      <c r="J2" s="694">
        <f t="shared" ref="J2:L2" si="0">I2+1</f>
        <v>2024</v>
      </c>
      <c r="K2" s="694">
        <f t="shared" si="0"/>
        <v>2025</v>
      </c>
      <c r="L2" s="694">
        <f t="shared" si="0"/>
        <v>2026</v>
      </c>
      <c r="M2" s="694"/>
      <c r="N2" s="694"/>
    </row>
    <row r="3" spans="1:14" x14ac:dyDescent="0.2"/>
    <row r="4" spans="1:14" x14ac:dyDescent="0.2"/>
    <row r="5" spans="1:14" x14ac:dyDescent="0.2">
      <c r="B5" s="1208" t="s">
        <v>1064</v>
      </c>
      <c r="C5" s="1087" t="str">
        <f>Projections!K4</f>
        <v>Realistický</v>
      </c>
      <c r="D5" s="741"/>
      <c r="E5" s="741"/>
      <c r="F5" s="741"/>
      <c r="G5" s="741"/>
      <c r="H5" s="741"/>
      <c r="I5" s="741"/>
      <c r="J5" s="741"/>
      <c r="K5" s="741"/>
      <c r="L5" s="741"/>
    </row>
    <row r="6" spans="1:14" ht="19.5" customHeight="1" x14ac:dyDescent="0.2">
      <c r="B6" s="862" t="s">
        <v>44</v>
      </c>
      <c r="C6" s="1134"/>
      <c r="D6" s="1134"/>
      <c r="E6" s="865"/>
      <c r="F6" s="865"/>
      <c r="G6" s="865"/>
      <c r="H6" s="865"/>
      <c r="I6" s="865"/>
      <c r="J6" s="865"/>
      <c r="K6" s="865"/>
      <c r="L6" s="1152"/>
    </row>
    <row r="7" spans="1:14" x14ac:dyDescent="0.2">
      <c r="B7" s="1135" t="s">
        <v>41</v>
      </c>
      <c r="C7" s="1136"/>
      <c r="D7" s="1136"/>
      <c r="E7" s="1136"/>
      <c r="F7" s="1137"/>
      <c r="G7" s="1137"/>
      <c r="H7" s="1137" t="str">
        <f t="shared" ref="H7:L7" si="1">"FY"&amp;RIGHT(H$2,2)</f>
        <v>FY22</v>
      </c>
      <c r="I7" s="1137" t="str">
        <f t="shared" si="1"/>
        <v>FY23</v>
      </c>
      <c r="J7" s="1137" t="str">
        <f t="shared" si="1"/>
        <v>FY24</v>
      </c>
      <c r="K7" s="1137" t="str">
        <f t="shared" si="1"/>
        <v>FY25</v>
      </c>
      <c r="L7" s="1138" t="str">
        <f t="shared" si="1"/>
        <v>FY26</v>
      </c>
      <c r="M7" s="1297" t="s">
        <v>861</v>
      </c>
    </row>
    <row r="8" spans="1:14" x14ac:dyDescent="0.2">
      <c r="B8" s="1177" t="s">
        <v>1100</v>
      </c>
      <c r="C8" s="879"/>
      <c r="D8" s="879"/>
      <c r="E8" s="879"/>
      <c r="F8" s="879"/>
      <c r="G8" s="879"/>
      <c r="H8" s="1266">
        <f>'Predpoklady-XYZ'!H30</f>
        <v>310000</v>
      </c>
      <c r="I8" s="1266">
        <f>'Predpoklady-XYZ'!I30</f>
        <v>150</v>
      </c>
      <c r="J8" s="1266">
        <f>'Predpoklady-XYZ'!J30</f>
        <v>195</v>
      </c>
      <c r="K8" s="1266">
        <f>'Predpoklady-XYZ'!K30</f>
        <v>253.5</v>
      </c>
      <c r="L8" s="1267">
        <f>'Predpoklady-XYZ'!L30</f>
        <v>304.2</v>
      </c>
    </row>
    <row r="9" spans="1:14" x14ac:dyDescent="0.2">
      <c r="B9" s="903" t="s">
        <v>1101</v>
      </c>
      <c r="C9" s="877"/>
      <c r="D9" s="877"/>
      <c r="E9" s="877"/>
      <c r="F9" s="877"/>
      <c r="G9" s="877"/>
      <c r="H9" s="1265">
        <f>'Predpoklady-XYZ'!H31</f>
        <v>0</v>
      </c>
      <c r="I9" s="1265">
        <f>'Predpoklady-XYZ'!I31</f>
        <v>65640</v>
      </c>
      <c r="J9" s="1265">
        <f>'Predpoklady-XYZ'!J31</f>
        <v>66952.800000000003</v>
      </c>
      <c r="K9" s="1265">
        <f>'Predpoklady-XYZ'!K31</f>
        <v>68291.856</v>
      </c>
      <c r="L9" s="1268">
        <f>'Predpoklady-XYZ'!L31</f>
        <v>69657.693119999996</v>
      </c>
    </row>
    <row r="10" spans="1:14" x14ac:dyDescent="0.2">
      <c r="B10" s="1269" t="s">
        <v>1019</v>
      </c>
      <c r="C10" s="879"/>
      <c r="D10" s="879"/>
      <c r="E10" s="879"/>
      <c r="F10" s="879"/>
      <c r="G10" s="879"/>
      <c r="H10" s="1166">
        <f>SUM(H8:H9)</f>
        <v>310000</v>
      </c>
      <c r="I10" s="1166">
        <f t="shared" ref="I10:L10" si="2">SUM(I8:I9)</f>
        <v>65790</v>
      </c>
      <c r="J10" s="1166">
        <f t="shared" si="2"/>
        <v>67147.8</v>
      </c>
      <c r="K10" s="1166">
        <f t="shared" si="2"/>
        <v>68545.356</v>
      </c>
      <c r="L10" s="1167">
        <f t="shared" si="2"/>
        <v>69961.893119999993</v>
      </c>
      <c r="M10" s="1298">
        <f>(L10/H10)^(1/(2026-2022))-1</f>
        <v>-0.31075287267561025</v>
      </c>
    </row>
    <row r="11" spans="1:14" x14ac:dyDescent="0.2">
      <c r="B11" s="1285" t="s">
        <v>926</v>
      </c>
      <c r="C11" s="741"/>
      <c r="D11" s="741"/>
      <c r="E11" s="741"/>
      <c r="F11" s="741"/>
      <c r="G11" s="741"/>
      <c r="H11" s="919" t="e">
        <f>H10/Projections!I12-1</f>
        <v>#DIV/0!</v>
      </c>
      <c r="I11" s="919">
        <f>I10/H10-1</f>
        <v>-0.78777419354838707</v>
      </c>
      <c r="J11" s="919">
        <f t="shared" ref="J11:L11" si="3">J10/I10-1</f>
        <v>2.0638394892840806E-2</v>
      </c>
      <c r="K11" s="919">
        <f t="shared" si="3"/>
        <v>2.0813131629033199E-2</v>
      </c>
      <c r="L11" s="952">
        <f t="shared" si="3"/>
        <v>2.0665690612212906E-2</v>
      </c>
    </row>
    <row r="12" spans="1:14" x14ac:dyDescent="0.2">
      <c r="B12" s="1286" t="s">
        <v>48</v>
      </c>
      <c r="C12" s="741"/>
      <c r="D12" s="741"/>
      <c r="E12" s="741"/>
      <c r="F12" s="741"/>
      <c r="G12" s="741"/>
      <c r="H12" s="976">
        <f>'Predpoklady-XYZ'!H43</f>
        <v>18600</v>
      </c>
      <c r="I12" s="976">
        <f>'Predpoklady-XYZ'!I43</f>
        <v>54</v>
      </c>
      <c r="J12" s="976">
        <f>'Predpoklady-XYZ'!J43</f>
        <v>70.2</v>
      </c>
      <c r="K12" s="976">
        <f>'Predpoklady-XYZ'!K43</f>
        <v>65.91</v>
      </c>
      <c r="L12" s="1178">
        <f>'Predpoklady-XYZ'!L43</f>
        <v>79.091999999999999</v>
      </c>
    </row>
    <row r="13" spans="1:14" x14ac:dyDescent="0.2">
      <c r="B13" s="1287" t="s">
        <v>497</v>
      </c>
      <c r="C13" s="741"/>
      <c r="D13" s="741"/>
      <c r="E13" s="741"/>
      <c r="F13" s="741"/>
      <c r="G13" s="741"/>
      <c r="H13" s="1265">
        <f>'Predpoklady-XYZ'!H46</f>
        <v>0</v>
      </c>
      <c r="I13" s="1265">
        <f>'Predpoklady-XYZ'!I46</f>
        <v>25000</v>
      </c>
      <c r="J13" s="1265">
        <f>'Predpoklady-XYZ'!J46</f>
        <v>0</v>
      </c>
      <c r="K13" s="1265">
        <f>'Predpoklady-XYZ'!K46</f>
        <v>0</v>
      </c>
      <c r="L13" s="1268">
        <f>'Predpoklady-XYZ'!L46</f>
        <v>0</v>
      </c>
    </row>
    <row r="14" spans="1:14" x14ac:dyDescent="0.2">
      <c r="B14" s="1270" t="s">
        <v>845</v>
      </c>
      <c r="C14" s="879"/>
      <c r="D14" s="879"/>
      <c r="E14" s="879"/>
      <c r="F14" s="879"/>
      <c r="G14" s="879"/>
      <c r="H14" s="1166">
        <f>H10-H12+H13</f>
        <v>291400</v>
      </c>
      <c r="I14" s="1166">
        <f t="shared" ref="I14:L14" si="4">I10-I12+I13</f>
        <v>90736</v>
      </c>
      <c r="J14" s="1166">
        <f t="shared" si="4"/>
        <v>67077.600000000006</v>
      </c>
      <c r="K14" s="1166">
        <f t="shared" si="4"/>
        <v>68479.445999999996</v>
      </c>
      <c r="L14" s="1167">
        <f t="shared" si="4"/>
        <v>69882.801119999989</v>
      </c>
    </row>
    <row r="15" spans="1:14" x14ac:dyDescent="0.2">
      <c r="B15" s="1180" t="s">
        <v>1103</v>
      </c>
      <c r="C15" s="741"/>
      <c r="D15" s="741"/>
      <c r="E15" s="741"/>
      <c r="F15" s="741"/>
      <c r="G15" s="741"/>
      <c r="H15" s="1142">
        <f>H14/H10</f>
        <v>0.94</v>
      </c>
      <c r="I15" s="1142">
        <f t="shared" ref="I15:L15" si="5">I14/I10</f>
        <v>1.3791761665906672</v>
      </c>
      <c r="J15" s="1142">
        <f t="shared" si="5"/>
        <v>0.99895454504838588</v>
      </c>
      <c r="K15" s="1142">
        <f t="shared" si="5"/>
        <v>0.99903844689346999</v>
      </c>
      <c r="L15" s="1289">
        <f t="shared" si="5"/>
        <v>0.99886949885898102</v>
      </c>
    </row>
    <row r="16" spans="1:14" x14ac:dyDescent="0.2">
      <c r="B16" s="1181" t="s">
        <v>626</v>
      </c>
      <c r="C16" s="741"/>
      <c r="D16" s="741"/>
      <c r="E16" s="741"/>
      <c r="F16" s="741"/>
      <c r="G16" s="741"/>
      <c r="H16" s="1142"/>
      <c r="I16" s="1142"/>
      <c r="J16" s="1142"/>
      <c r="K16" s="1142"/>
      <c r="L16" s="1289"/>
    </row>
    <row r="17" spans="2:12" x14ac:dyDescent="0.2">
      <c r="B17" s="1042" t="s">
        <v>59</v>
      </c>
      <c r="C17" s="741"/>
      <c r="D17" s="741"/>
      <c r="E17" s="741"/>
      <c r="F17" s="741"/>
      <c r="G17" s="741"/>
      <c r="H17" s="976" t="e">
        <f>'Predpoklady-XYZ'!H54</f>
        <v>#REF!</v>
      </c>
      <c r="I17" s="976" t="e">
        <f>'Predpoklady-XYZ'!I54</f>
        <v>#REF!</v>
      </c>
      <c r="J17" s="976" t="e">
        <f>'Predpoklady-XYZ'!J54</f>
        <v>#REF!</v>
      </c>
      <c r="K17" s="976" t="e">
        <f>'Predpoklady-XYZ'!K54</f>
        <v>#REF!</v>
      </c>
      <c r="L17" s="1288" t="e">
        <f>'Predpoklady-XYZ'!L54</f>
        <v>#REF!</v>
      </c>
    </row>
    <row r="18" spans="2:12" x14ac:dyDescent="0.2">
      <c r="B18" s="1042" t="s">
        <v>1020</v>
      </c>
      <c r="C18" s="741"/>
      <c r="D18" s="741"/>
      <c r="E18" s="741"/>
      <c r="F18" s="741"/>
      <c r="G18" s="741"/>
      <c r="H18" s="976">
        <f>'Predpoklady-XYZ'!H63</f>
        <v>16120</v>
      </c>
      <c r="I18" s="976">
        <f>'Predpoklady-XYZ'!I63</f>
        <v>467.28000000000003</v>
      </c>
      <c r="J18" s="976">
        <f>'Predpoklady-XYZ'!J63</f>
        <v>478.80959999999999</v>
      </c>
      <c r="K18" s="976">
        <f>'Predpoklady-XYZ'!K63</f>
        <v>491.22499200000004</v>
      </c>
      <c r="L18" s="1178">
        <f>'Predpoklady-XYZ'!L63</f>
        <v>503.42225184</v>
      </c>
    </row>
    <row r="19" spans="2:12" x14ac:dyDescent="0.2">
      <c r="B19" s="1042" t="s">
        <v>1197</v>
      </c>
      <c r="C19" s="741"/>
      <c r="D19" s="741"/>
      <c r="E19" s="741"/>
      <c r="F19" s="741"/>
      <c r="G19" s="741"/>
      <c r="H19" s="976">
        <f>'Predpoklady-XYZ'!H61</f>
        <v>0</v>
      </c>
      <c r="I19" s="976">
        <f>'Predpoklady-XYZ'!I61</f>
        <v>0</v>
      </c>
      <c r="J19" s="976">
        <f>'Predpoklady-XYZ'!J61</f>
        <v>0</v>
      </c>
      <c r="K19" s="976">
        <f>'Predpoklady-XYZ'!K61</f>
        <v>0</v>
      </c>
      <c r="L19" s="1178">
        <f>'Predpoklady-XYZ'!L61</f>
        <v>0</v>
      </c>
    </row>
    <row r="20" spans="2:12" x14ac:dyDescent="0.2">
      <c r="B20" s="903"/>
      <c r="C20" s="877"/>
      <c r="D20" s="877"/>
      <c r="E20" s="877"/>
      <c r="F20" s="877"/>
      <c r="G20" s="877"/>
      <c r="H20" s="1172"/>
      <c r="I20" s="1172"/>
      <c r="J20" s="1172"/>
      <c r="K20" s="1172"/>
      <c r="L20" s="1182"/>
    </row>
    <row r="21" spans="2:12" x14ac:dyDescent="0.2">
      <c r="B21" s="1269" t="s">
        <v>1</v>
      </c>
      <c r="C21" s="879"/>
      <c r="D21" s="879"/>
      <c r="E21" s="879"/>
      <c r="F21" s="879"/>
      <c r="G21" s="879"/>
      <c r="H21" s="1166" t="e">
        <f>H14-SUM(H17:H18)+H19</f>
        <v>#REF!</v>
      </c>
      <c r="I21" s="1166" t="e">
        <f t="shared" ref="I21:L21" si="6">I14-SUM(I17:I18)+I19</f>
        <v>#REF!</v>
      </c>
      <c r="J21" s="1166" t="e">
        <f t="shared" si="6"/>
        <v>#REF!</v>
      </c>
      <c r="K21" s="1166" t="e">
        <f t="shared" si="6"/>
        <v>#REF!</v>
      </c>
      <c r="L21" s="1167" t="e">
        <f t="shared" si="6"/>
        <v>#REF!</v>
      </c>
    </row>
    <row r="22" spans="2:12" x14ac:dyDescent="0.2">
      <c r="B22" s="1180" t="s">
        <v>1104</v>
      </c>
      <c r="C22" s="741"/>
      <c r="D22" s="741"/>
      <c r="E22" s="741"/>
      <c r="F22" s="741"/>
      <c r="G22" s="741"/>
      <c r="H22" s="1142" t="e">
        <f>H21/H10</f>
        <v>#REF!</v>
      </c>
      <c r="I22" s="1142" t="e">
        <f t="shared" ref="I22:L22" si="7">I21/I10</f>
        <v>#REF!</v>
      </c>
      <c r="J22" s="1142" t="e">
        <f t="shared" si="7"/>
        <v>#REF!</v>
      </c>
      <c r="K22" s="1142" t="e">
        <f t="shared" si="7"/>
        <v>#REF!</v>
      </c>
      <c r="L22" s="1143" t="e">
        <f t="shared" si="7"/>
        <v>#REF!</v>
      </c>
    </row>
    <row r="23" spans="2:12" x14ac:dyDescent="0.2">
      <c r="B23" s="1042" t="s">
        <v>1106</v>
      </c>
      <c r="C23" s="741"/>
      <c r="D23" s="741"/>
      <c r="E23" s="741"/>
      <c r="F23" s="741"/>
      <c r="G23" s="741"/>
      <c r="H23" s="976">
        <f>'Predpoklady-XYZ'!H64</f>
        <v>0</v>
      </c>
      <c r="I23" s="976">
        <f>'Predpoklady-XYZ'!I64</f>
        <v>0</v>
      </c>
      <c r="J23" s="976">
        <f>'Predpoklady-XYZ'!J64</f>
        <v>0</v>
      </c>
      <c r="K23" s="976">
        <f>'Predpoklady-XYZ'!K64</f>
        <v>0</v>
      </c>
      <c r="L23" s="1178">
        <f>'Predpoklady-XYZ'!L64</f>
        <v>0</v>
      </c>
    </row>
    <row r="24" spans="2:12" x14ac:dyDescent="0.2">
      <c r="B24" s="1140" t="s">
        <v>1087</v>
      </c>
      <c r="C24" s="877"/>
      <c r="D24" s="877"/>
      <c r="E24" s="877"/>
      <c r="F24" s="877"/>
      <c r="G24" s="877"/>
      <c r="H24" s="1265">
        <f>'Predpoklady-XYZ'!H98</f>
        <v>0</v>
      </c>
      <c r="I24" s="1265">
        <f>'Predpoklady-XYZ'!I98</f>
        <v>30853.666666666664</v>
      </c>
      <c r="J24" s="1265">
        <f>'Predpoklady-XYZ'!J98</f>
        <v>34187</v>
      </c>
      <c r="K24" s="1265">
        <f>'Predpoklady-XYZ'!K98</f>
        <v>34187</v>
      </c>
      <c r="L24" s="1268">
        <f>'Predpoklady-XYZ'!L98</f>
        <v>34187</v>
      </c>
    </row>
    <row r="25" spans="2:12" x14ac:dyDescent="0.2">
      <c r="B25" s="1269" t="s">
        <v>32</v>
      </c>
      <c r="C25" s="879"/>
      <c r="D25" s="879"/>
      <c r="E25" s="879"/>
      <c r="F25" s="879"/>
      <c r="G25" s="879"/>
      <c r="H25" s="904" t="e">
        <f>H21-SUM(H23:H24)</f>
        <v>#REF!</v>
      </c>
      <c r="I25" s="904" t="e">
        <f t="shared" ref="I25:L25" si="8">I21-SUM(I23:I24)</f>
        <v>#REF!</v>
      </c>
      <c r="J25" s="904" t="e">
        <f t="shared" si="8"/>
        <v>#REF!</v>
      </c>
      <c r="K25" s="904" t="e">
        <f t="shared" si="8"/>
        <v>#REF!</v>
      </c>
      <c r="L25" s="1015" t="e">
        <f t="shared" si="8"/>
        <v>#REF!</v>
      </c>
    </row>
    <row r="26" spans="2:12" x14ac:dyDescent="0.2">
      <c r="B26" s="1141" t="s">
        <v>1105</v>
      </c>
      <c r="C26" s="741"/>
      <c r="D26" s="741"/>
      <c r="E26" s="741"/>
      <c r="F26" s="741"/>
      <c r="G26" s="741"/>
      <c r="H26" s="1142" t="e">
        <f>H25/H10</f>
        <v>#REF!</v>
      </c>
      <c r="I26" s="1142" t="e">
        <f t="shared" ref="I26:L26" si="9">I25/I10</f>
        <v>#REF!</v>
      </c>
      <c r="J26" s="1142" t="e">
        <f t="shared" si="9"/>
        <v>#REF!</v>
      </c>
      <c r="K26" s="1142" t="e">
        <f t="shared" si="9"/>
        <v>#REF!</v>
      </c>
      <c r="L26" s="1143" t="e">
        <f t="shared" si="9"/>
        <v>#REF!</v>
      </c>
    </row>
    <row r="27" spans="2:12" x14ac:dyDescent="0.2">
      <c r="B27" s="1140" t="s">
        <v>1106</v>
      </c>
      <c r="C27" s="877"/>
      <c r="D27" s="877"/>
      <c r="E27" s="877"/>
      <c r="F27" s="877"/>
      <c r="G27" s="877"/>
      <c r="H27" s="1009">
        <v>0</v>
      </c>
      <c r="I27" s="1265" t="e">
        <f>Dlhová_služba!#REF!</f>
        <v>#REF!</v>
      </c>
      <c r="J27" s="1265" t="e">
        <f>Dlhová_služba!#REF!</f>
        <v>#REF!</v>
      </c>
      <c r="K27" s="1265" t="e">
        <f>Dlhová_služba!#REF!</f>
        <v>#REF!</v>
      </c>
      <c r="L27" s="1268" t="e">
        <f>Dlhová_služba!#REF!</f>
        <v>#REF!</v>
      </c>
    </row>
    <row r="28" spans="2:12" x14ac:dyDescent="0.2">
      <c r="B28" s="1270" t="s">
        <v>1107</v>
      </c>
      <c r="C28" s="879"/>
      <c r="D28" s="879"/>
      <c r="E28" s="879"/>
      <c r="F28" s="879"/>
      <c r="G28" s="879"/>
      <c r="H28" s="1166" t="e">
        <f>H25-H27</f>
        <v>#REF!</v>
      </c>
      <c r="I28" s="1166" t="e">
        <f t="shared" ref="I28:L28" si="10">I25-I27</f>
        <v>#REF!</v>
      </c>
      <c r="J28" s="1166" t="e">
        <f t="shared" si="10"/>
        <v>#REF!</v>
      </c>
      <c r="K28" s="1166" t="e">
        <f t="shared" si="10"/>
        <v>#REF!</v>
      </c>
      <c r="L28" s="1167" t="e">
        <f t="shared" si="10"/>
        <v>#REF!</v>
      </c>
    </row>
    <row r="29" spans="2:12" x14ac:dyDescent="0.2">
      <c r="B29" s="1140" t="s">
        <v>1017</v>
      </c>
      <c r="C29" s="877"/>
      <c r="D29" s="877"/>
      <c r="E29" s="877"/>
      <c r="F29" s="877"/>
      <c r="G29" s="877"/>
      <c r="H29" s="877" t="e">
        <f>IF(H28&gt;0,H28*'Predpoklady_SFR DSS'!H20,0)</f>
        <v>#REF!</v>
      </c>
      <c r="I29" s="877" t="e">
        <f>IF(I28&gt;0,I28*'Predpoklady_SFR DSS'!I20,0)</f>
        <v>#REF!</v>
      </c>
      <c r="J29" s="877" t="e">
        <f>IF(J28&gt;0,J28*'Predpoklady_SFR DSS'!J20,0)</f>
        <v>#REF!</v>
      </c>
      <c r="K29" s="877" t="e">
        <f>IF(K28&gt;0,K28*'Predpoklady_SFR DSS'!K20,0)</f>
        <v>#REF!</v>
      </c>
      <c r="L29" s="882" t="e">
        <f>IF(L28&gt;0,L28*'Predpoklady_SFR DSS'!L20,0)</f>
        <v>#REF!</v>
      </c>
    </row>
    <row r="30" spans="2:12" ht="12" thickBot="1" x14ac:dyDescent="0.25">
      <c r="B30" s="1271" t="s">
        <v>1108</v>
      </c>
      <c r="C30" s="1272"/>
      <c r="D30" s="1272"/>
      <c r="E30" s="1272"/>
      <c r="F30" s="1272"/>
      <c r="G30" s="1272"/>
      <c r="H30" s="1273" t="e">
        <f>H28-H29</f>
        <v>#REF!</v>
      </c>
      <c r="I30" s="1273" t="e">
        <f t="shared" ref="I30:L30" si="11">I28-I29</f>
        <v>#REF!</v>
      </c>
      <c r="J30" s="1273" t="e">
        <f t="shared" si="11"/>
        <v>#REF!</v>
      </c>
      <c r="K30" s="1273" t="e">
        <f t="shared" si="11"/>
        <v>#REF!</v>
      </c>
      <c r="L30" s="1274" t="e">
        <f t="shared" si="11"/>
        <v>#REF!</v>
      </c>
    </row>
    <row r="31" spans="2:12" x14ac:dyDescent="0.2"/>
    <row r="32" spans="2:12" ht="19.5" customHeight="1" x14ac:dyDescent="0.2">
      <c r="B32" s="862" t="s">
        <v>1111</v>
      </c>
      <c r="C32" s="1134"/>
      <c r="D32" s="1134"/>
      <c r="E32" s="865"/>
      <c r="F32" s="865"/>
      <c r="G32" s="865"/>
      <c r="H32" s="865"/>
      <c r="I32" s="865"/>
      <c r="J32" s="865"/>
      <c r="K32" s="865"/>
      <c r="L32" s="1152"/>
    </row>
    <row r="33" spans="2:12" ht="10.15" customHeight="1" x14ac:dyDescent="0.2">
      <c r="B33" s="1147" t="s">
        <v>41</v>
      </c>
      <c r="C33" s="1148"/>
      <c r="D33" s="1149"/>
      <c r="E33" s="1150"/>
      <c r="F33" s="1150"/>
      <c r="G33" s="1150">
        <v>44804</v>
      </c>
      <c r="H33" s="1150">
        <v>44926</v>
      </c>
      <c r="I33" s="1150">
        <f>H33+365</f>
        <v>45291</v>
      </c>
      <c r="J33" s="1150">
        <f>I33+366</f>
        <v>45657</v>
      </c>
      <c r="K33" s="1150">
        <f t="shared" ref="K33:L33" si="12">J33+365</f>
        <v>46022</v>
      </c>
      <c r="L33" s="1151">
        <f t="shared" si="12"/>
        <v>46387</v>
      </c>
    </row>
    <row r="34" spans="2:12" x14ac:dyDescent="0.2">
      <c r="B34" s="1153" t="s">
        <v>1</v>
      </c>
      <c r="C34" s="939"/>
      <c r="D34" s="939"/>
      <c r="E34" s="939"/>
      <c r="F34" s="939"/>
      <c r="G34" s="939"/>
      <c r="H34" s="879" t="e">
        <f>H21</f>
        <v>#REF!</v>
      </c>
      <c r="I34" s="879" t="e">
        <f t="shared" ref="I34:L34" si="13">I21</f>
        <v>#REF!</v>
      </c>
      <c r="J34" s="879" t="e">
        <f t="shared" si="13"/>
        <v>#REF!</v>
      </c>
      <c r="K34" s="879" t="e">
        <f t="shared" si="13"/>
        <v>#REF!</v>
      </c>
      <c r="L34" s="880" t="e">
        <f t="shared" si="13"/>
        <v>#REF!</v>
      </c>
    </row>
    <row r="35" spans="2:12" x14ac:dyDescent="0.2">
      <c r="B35" s="1154" t="s">
        <v>79</v>
      </c>
      <c r="H35" s="948">
        <f>H24</f>
        <v>0</v>
      </c>
      <c r="I35" s="948">
        <f t="shared" ref="I35:L35" si="14">I24</f>
        <v>30853.666666666664</v>
      </c>
      <c r="J35" s="948">
        <f t="shared" si="14"/>
        <v>34187</v>
      </c>
      <c r="K35" s="948">
        <f t="shared" si="14"/>
        <v>34187</v>
      </c>
      <c r="L35" s="1253">
        <f t="shared" si="14"/>
        <v>34187</v>
      </c>
    </row>
    <row r="36" spans="2:12" x14ac:dyDescent="0.2">
      <c r="B36" s="1154" t="s">
        <v>1106</v>
      </c>
      <c r="H36" s="741">
        <f>-H23</f>
        <v>0</v>
      </c>
      <c r="I36" s="741">
        <f>-I23</f>
        <v>0</v>
      </c>
      <c r="J36" s="741">
        <f>-J23</f>
        <v>0</v>
      </c>
      <c r="K36" s="741">
        <f>-K23</f>
        <v>0</v>
      </c>
      <c r="L36" s="881">
        <f>-L23</f>
        <v>0</v>
      </c>
    </row>
    <row r="37" spans="2:12" x14ac:dyDescent="0.2">
      <c r="B37" s="1154" t="s">
        <v>1017</v>
      </c>
      <c r="H37" s="741" t="e">
        <f>-H29</f>
        <v>#REF!</v>
      </c>
      <c r="I37" s="741" t="e">
        <f t="shared" ref="I37:L37" si="15">-I29</f>
        <v>#REF!</v>
      </c>
      <c r="J37" s="741" t="e">
        <f t="shared" si="15"/>
        <v>#REF!</v>
      </c>
      <c r="K37" s="741" t="e">
        <f t="shared" si="15"/>
        <v>#REF!</v>
      </c>
      <c r="L37" s="881" t="e">
        <f t="shared" si="15"/>
        <v>#REF!</v>
      </c>
    </row>
    <row r="38" spans="2:12" x14ac:dyDescent="0.2">
      <c r="B38" s="1144" t="s">
        <v>1112</v>
      </c>
      <c r="C38" s="938"/>
      <c r="D38" s="938"/>
      <c r="E38" s="938"/>
      <c r="F38" s="938"/>
      <c r="G38" s="938"/>
      <c r="H38" s="1139">
        <f>'Predpoklady-XYZ'!H122</f>
        <v>14260</v>
      </c>
      <c r="I38" s="1139">
        <f>'Predpoklady-XYZ'!I122</f>
        <v>-11233.66</v>
      </c>
      <c r="J38" s="1139">
        <f>'Predpoklady-XYZ'!J122</f>
        <v>62.458799999999883</v>
      </c>
      <c r="K38" s="1139">
        <f>'Predpoklady-XYZ'!K122</f>
        <v>64.287576000000172</v>
      </c>
      <c r="L38" s="1179">
        <f>'Predpoklady-XYZ'!L122</f>
        <v>65.16070751999905</v>
      </c>
    </row>
    <row r="39" spans="2:12" x14ac:dyDescent="0.2">
      <c r="B39" s="905" t="s">
        <v>1113</v>
      </c>
      <c r="H39" s="904" t="e">
        <f>SUM(H34:H38)</f>
        <v>#REF!</v>
      </c>
      <c r="I39" s="904" t="e">
        <f t="shared" ref="I39:L39" si="16">SUM(I34:I38)</f>
        <v>#REF!</v>
      </c>
      <c r="J39" s="904" t="e">
        <f t="shared" si="16"/>
        <v>#REF!</v>
      </c>
      <c r="K39" s="904" t="e">
        <f t="shared" si="16"/>
        <v>#REF!</v>
      </c>
      <c r="L39" s="1015" t="e">
        <f t="shared" si="16"/>
        <v>#REF!</v>
      </c>
    </row>
    <row r="40" spans="2:12" x14ac:dyDescent="0.2">
      <c r="B40" s="899"/>
      <c r="L40" s="941"/>
    </row>
    <row r="41" spans="2:12" x14ac:dyDescent="0.2">
      <c r="B41" s="1144" t="s">
        <v>1118</v>
      </c>
      <c r="C41" s="938"/>
      <c r="D41" s="938"/>
      <c r="E41" s="938"/>
      <c r="F41" s="938"/>
      <c r="G41" s="1139"/>
      <c r="H41" s="1139">
        <f>-'Predpoklady-XYZ'!H79</f>
        <v>0</v>
      </c>
      <c r="I41" s="1139">
        <f>-'Predpoklady-XYZ'!I79</f>
        <v>-595122</v>
      </c>
      <c r="J41" s="1139">
        <f>-'Predpoklady-XYZ'!J79</f>
        <v>-20000</v>
      </c>
      <c r="K41" s="1139">
        <f>-'Predpoklady-XYZ'!K79</f>
        <v>0</v>
      </c>
      <c r="L41" s="1179">
        <f>-'Predpoklady-XYZ'!L79</f>
        <v>0</v>
      </c>
    </row>
    <row r="42" spans="2:12" x14ac:dyDescent="0.2">
      <c r="B42" s="905" t="s">
        <v>1119</v>
      </c>
      <c r="G42" s="904"/>
      <c r="H42" s="904">
        <f t="shared" ref="H42:L42" si="17">H41</f>
        <v>0</v>
      </c>
      <c r="I42" s="904">
        <f t="shared" si="17"/>
        <v>-595122</v>
      </c>
      <c r="J42" s="904">
        <f t="shared" si="17"/>
        <v>-20000</v>
      </c>
      <c r="K42" s="904">
        <f t="shared" si="17"/>
        <v>0</v>
      </c>
      <c r="L42" s="1015">
        <f t="shared" si="17"/>
        <v>0</v>
      </c>
    </row>
    <row r="43" spans="2:12" x14ac:dyDescent="0.2">
      <c r="B43" s="899"/>
      <c r="L43" s="941"/>
    </row>
    <row r="44" spans="2:12" x14ac:dyDescent="0.2">
      <c r="B44" s="899" t="s">
        <v>1120</v>
      </c>
      <c r="G44" s="904"/>
      <c r="H44" s="904" t="e">
        <f>H39+H42</f>
        <v>#REF!</v>
      </c>
      <c r="I44" s="904" t="e">
        <f>I39+I42</f>
        <v>#REF!</v>
      </c>
      <c r="J44" s="904" t="e">
        <f t="shared" ref="J44:L44" si="18">J39+J42</f>
        <v>#REF!</v>
      </c>
      <c r="K44" s="904" t="e">
        <f t="shared" si="18"/>
        <v>#REF!</v>
      </c>
      <c r="L44" s="1015" t="e">
        <f t="shared" si="18"/>
        <v>#REF!</v>
      </c>
    </row>
    <row r="45" spans="2:12" x14ac:dyDescent="0.2">
      <c r="B45" s="899"/>
      <c r="L45" s="941"/>
    </row>
    <row r="46" spans="2:12" x14ac:dyDescent="0.2">
      <c r="B46" s="1133" t="s">
        <v>1121</v>
      </c>
      <c r="G46" s="976"/>
      <c r="H46" s="1276" t="e">
        <f>Dlhová_služba!D13</f>
        <v>#REF!</v>
      </c>
      <c r="I46" s="1276">
        <f>Dlhová_služba!E13</f>
        <v>0</v>
      </c>
      <c r="J46" s="1276">
        <f>Dlhová_služba!F13</f>
        <v>0</v>
      </c>
      <c r="K46" s="1276" t="e">
        <f>Dlhová_služba!G13</f>
        <v>#REF!</v>
      </c>
      <c r="L46" s="1277">
        <f>Dlhová_služba!H13</f>
        <v>0</v>
      </c>
    </row>
    <row r="47" spans="2:12" x14ac:dyDescent="0.2">
      <c r="B47" s="1144" t="s">
        <v>1040</v>
      </c>
      <c r="C47" s="938"/>
      <c r="D47" s="938"/>
      <c r="E47" s="938"/>
      <c r="F47" s="938"/>
      <c r="G47" s="938"/>
      <c r="H47" s="1275" t="e">
        <f>-Dlhová_služba!#REF!</f>
        <v>#REF!</v>
      </c>
      <c r="I47" s="1275" t="e">
        <f>-Dlhová_služba!#REF!</f>
        <v>#REF!</v>
      </c>
      <c r="J47" s="1275" t="e">
        <f>-Dlhová_služba!#REF!</f>
        <v>#REF!</v>
      </c>
      <c r="K47" s="1275" t="e">
        <f>-Dlhová_služba!#REF!</f>
        <v>#REF!</v>
      </c>
      <c r="L47" s="1278" t="e">
        <f>-Dlhová_služba!#REF!</f>
        <v>#REF!</v>
      </c>
    </row>
    <row r="48" spans="2:12" x14ac:dyDescent="0.2">
      <c r="B48" s="1153" t="s">
        <v>1122</v>
      </c>
      <c r="H48" s="904" t="e">
        <f>SUM(H46:H47)</f>
        <v>#REF!</v>
      </c>
      <c r="I48" s="1279" t="e">
        <f>SUM(I46:I47)</f>
        <v>#REF!</v>
      </c>
      <c r="J48" s="904" t="e">
        <f t="shared" ref="J48:L48" si="19">SUM(J46:J47)</f>
        <v>#REF!</v>
      </c>
      <c r="K48" s="904" t="e">
        <f t="shared" si="19"/>
        <v>#REF!</v>
      </c>
      <c r="L48" s="1015" t="e">
        <f t="shared" si="19"/>
        <v>#REF!</v>
      </c>
    </row>
    <row r="49" spans="2:12" x14ac:dyDescent="0.2">
      <c r="B49" s="899"/>
      <c r="L49" s="941"/>
    </row>
    <row r="50" spans="2:12" x14ac:dyDescent="0.2">
      <c r="B50" s="916" t="s">
        <v>1123</v>
      </c>
      <c r="G50" s="904"/>
      <c r="H50" s="904" t="e">
        <f>H48+H44</f>
        <v>#REF!</v>
      </c>
      <c r="I50" s="904" t="e">
        <f t="shared" ref="I50:L50" si="20">I48+I44</f>
        <v>#REF!</v>
      </c>
      <c r="J50" s="904" t="e">
        <f t="shared" si="20"/>
        <v>#REF!</v>
      </c>
      <c r="K50" s="904" t="e">
        <f t="shared" si="20"/>
        <v>#REF!</v>
      </c>
      <c r="L50" s="1015" t="e">
        <f t="shared" si="20"/>
        <v>#REF!</v>
      </c>
    </row>
    <row r="51" spans="2:12" x14ac:dyDescent="0.2">
      <c r="B51" s="899" t="s">
        <v>1124</v>
      </c>
      <c r="G51" s="741"/>
      <c r="H51" s="741" t="e">
        <f>H50</f>
        <v>#REF!</v>
      </c>
      <c r="I51" s="741" t="e">
        <f t="shared" ref="I51:L51" si="21">I50</f>
        <v>#REF!</v>
      </c>
      <c r="J51" s="741" t="e">
        <f t="shared" si="21"/>
        <v>#REF!</v>
      </c>
      <c r="K51" s="741" t="e">
        <f t="shared" si="21"/>
        <v>#REF!</v>
      </c>
      <c r="L51" s="881" t="e">
        <f t="shared" si="21"/>
        <v>#REF!</v>
      </c>
    </row>
    <row r="52" spans="2:12" x14ac:dyDescent="0.2">
      <c r="B52" s="899" t="s">
        <v>1125</v>
      </c>
      <c r="G52" s="904"/>
      <c r="H52" s="904" t="e">
        <f>SUM(G52,H51)</f>
        <v>#REF!</v>
      </c>
      <c r="I52" s="904" t="e">
        <f t="shared" ref="I52:L52" si="22">SUM(H52,I51)</f>
        <v>#REF!</v>
      </c>
      <c r="J52" s="904" t="e">
        <f t="shared" si="22"/>
        <v>#REF!</v>
      </c>
      <c r="K52" s="904" t="e">
        <f t="shared" si="22"/>
        <v>#REF!</v>
      </c>
      <c r="L52" s="1015" t="e">
        <f t="shared" si="22"/>
        <v>#REF!</v>
      </c>
    </row>
    <row r="53" spans="2:12" x14ac:dyDescent="0.2">
      <c r="B53" s="945"/>
      <c r="C53" s="938"/>
      <c r="D53" s="938"/>
      <c r="E53" s="938"/>
      <c r="F53" s="938"/>
      <c r="G53" s="938"/>
      <c r="H53" s="938"/>
      <c r="I53" s="938"/>
      <c r="J53" s="938"/>
      <c r="K53" s="938"/>
      <c r="L53" s="946"/>
    </row>
    <row r="54" spans="2:12" x14ac:dyDescent="0.2"/>
    <row r="55" spans="2:12" x14ac:dyDescent="0.2"/>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C74314-7D56-4584-8FE7-67875B5B52FB}">
  <sheetPr>
    <tabColor rgb="FF0000FF"/>
  </sheetPr>
  <dimension ref="A1:AF126"/>
  <sheetViews>
    <sheetView showGridLines="0" workbookViewId="0">
      <pane ySplit="2" topLeftCell="A9" activePane="bottomLeft" state="frozen"/>
      <selection pane="bottomLeft" activeCell="F92" sqref="F92"/>
    </sheetView>
  </sheetViews>
  <sheetFormatPr defaultColWidth="8.85546875" defaultRowHeight="11.25" outlineLevelRow="1" x14ac:dyDescent="0.2"/>
  <cols>
    <col min="1" max="1" width="1.7109375" style="1189" customWidth="1"/>
    <col min="2" max="2" width="36.42578125" style="1189" bestFit="1" customWidth="1"/>
    <col min="3" max="3" width="4.7109375" style="1189" customWidth="1"/>
    <col min="4" max="4" width="9.140625" style="1189" bestFit="1" customWidth="1"/>
    <col min="5" max="5" width="8.7109375" style="1189" customWidth="1"/>
    <col min="6" max="7" width="1.7109375" style="1189" customWidth="1"/>
    <col min="8" max="13" width="8.85546875" style="1189" customWidth="1"/>
    <col min="14" max="14" width="2.7109375" style="1189" customWidth="1"/>
    <col min="15" max="15" width="28.42578125" style="1189" customWidth="1"/>
    <col min="16" max="16" width="8.85546875" style="1189" customWidth="1"/>
    <col min="17" max="17" width="28.42578125" style="1189" customWidth="1"/>
    <col min="18" max="16384" width="8.85546875" style="1189"/>
  </cols>
  <sheetData>
    <row r="1" spans="1:14" x14ac:dyDescent="0.2">
      <c r="A1" s="190"/>
      <c r="B1" s="190"/>
      <c r="C1" s="190"/>
      <c r="D1" s="190"/>
      <c r="E1" s="190"/>
      <c r="F1" s="190"/>
      <c r="G1" s="190"/>
      <c r="H1" s="190"/>
      <c r="I1" s="190"/>
      <c r="J1" s="190"/>
      <c r="K1" s="190"/>
      <c r="L1" s="190"/>
      <c r="M1" s="190"/>
      <c r="N1" s="190"/>
    </row>
    <row r="2" spans="1:14" ht="19.5" customHeight="1" x14ac:dyDescent="0.2">
      <c r="A2" s="190"/>
      <c r="B2" s="374" t="str">
        <f>CONCATENATE("Predpoklady a výpočty: ",Aktíva!D1)</f>
        <v>Predpoklady a výpočty: XXY s.r.o.</v>
      </c>
      <c r="C2" s="545"/>
      <c r="D2" s="190"/>
      <c r="E2" s="190"/>
      <c r="F2" s="190"/>
      <c r="G2" s="190"/>
      <c r="H2" s="694">
        <f>D14</f>
        <v>2022</v>
      </c>
      <c r="I2" s="694">
        <f>H2+1</f>
        <v>2023</v>
      </c>
      <c r="J2" s="694">
        <f t="shared" ref="J2:L2" si="0">I2+1</f>
        <v>2024</v>
      </c>
      <c r="K2" s="694">
        <f t="shared" si="0"/>
        <v>2025</v>
      </c>
      <c r="L2" s="694">
        <f t="shared" si="0"/>
        <v>2026</v>
      </c>
      <c r="M2" s="694"/>
      <c r="N2" s="694"/>
    </row>
    <row r="3" spans="1:14" x14ac:dyDescent="0.2">
      <c r="A3" s="741"/>
      <c r="B3" s="741"/>
      <c r="C3" s="741"/>
      <c r="D3" s="741"/>
      <c r="E3" s="741"/>
      <c r="F3" s="741"/>
      <c r="G3" s="741"/>
      <c r="H3" s="741"/>
      <c r="I3" s="741"/>
      <c r="J3" s="741"/>
      <c r="K3" s="741"/>
      <c r="L3" s="741"/>
      <c r="M3" s="741"/>
      <c r="N3" s="741"/>
    </row>
    <row r="4" spans="1:14" x14ac:dyDescent="0.2">
      <c r="A4" s="741"/>
      <c r="B4" s="741"/>
      <c r="C4" s="741"/>
      <c r="D4" s="741"/>
      <c r="E4" s="741"/>
      <c r="F4" s="741"/>
      <c r="G4" s="741"/>
      <c r="H4" s="741"/>
      <c r="I4" s="741"/>
      <c r="J4" s="741"/>
      <c r="K4" s="741"/>
      <c r="L4" s="741"/>
      <c r="M4" s="741"/>
      <c r="N4" s="741"/>
    </row>
    <row r="5" spans="1:14" ht="19.5" customHeight="1" x14ac:dyDescent="0.2">
      <c r="A5" s="741"/>
      <c r="B5" s="1098" t="s">
        <v>1000</v>
      </c>
      <c r="C5" s="1095"/>
      <c r="D5" s="1095"/>
      <c r="E5" s="1096"/>
      <c r="F5" s="1097"/>
      <c r="G5" s="1097"/>
      <c r="H5" s="1097"/>
      <c r="I5" s="1097"/>
      <c r="J5" s="1097"/>
      <c r="K5" s="1097"/>
      <c r="L5" s="1146"/>
      <c r="M5" s="999"/>
      <c r="N5" s="741"/>
    </row>
    <row r="6" spans="1:14" x14ac:dyDescent="0.2">
      <c r="A6" s="741"/>
      <c r="B6" s="878" t="s">
        <v>1001</v>
      </c>
      <c r="C6" s="867"/>
      <c r="D6" s="868"/>
      <c r="E6" s="879"/>
      <c r="F6" s="879"/>
      <c r="G6" s="879"/>
      <c r="H6" s="879"/>
      <c r="I6" s="879"/>
      <c r="J6" s="879"/>
      <c r="K6" s="879"/>
      <c r="L6" s="880"/>
      <c r="M6" s="1000"/>
      <c r="N6" s="741"/>
    </row>
    <row r="7" spans="1:14" x14ac:dyDescent="0.2">
      <c r="A7" s="741"/>
      <c r="B7" s="869" t="s">
        <v>1002</v>
      </c>
      <c r="C7" s="870"/>
      <c r="D7" s="871"/>
      <c r="E7" s="741"/>
      <c r="F7" s="741"/>
      <c r="G7" s="741"/>
      <c r="H7" s="741"/>
      <c r="I7" s="741"/>
      <c r="J7" s="741"/>
      <c r="K7" s="741"/>
      <c r="L7" s="881"/>
      <c r="M7" s="1000"/>
      <c r="N7" s="741"/>
    </row>
    <row r="8" spans="1:14" x14ac:dyDescent="0.2">
      <c r="A8" s="741"/>
      <c r="B8" s="872" t="s">
        <v>1003</v>
      </c>
      <c r="C8" s="870"/>
      <c r="D8" s="871"/>
      <c r="E8" s="741"/>
      <c r="F8" s="741"/>
      <c r="G8" s="741"/>
      <c r="H8" s="741"/>
      <c r="I8" s="741"/>
      <c r="J8" s="741"/>
      <c r="K8" s="741"/>
      <c r="L8" s="881"/>
      <c r="M8" s="1000"/>
      <c r="N8" s="741"/>
    </row>
    <row r="9" spans="1:14" x14ac:dyDescent="0.2">
      <c r="A9" s="741"/>
      <c r="B9" s="873" t="s">
        <v>1004</v>
      </c>
      <c r="C9" s="870"/>
      <c r="D9" s="871"/>
      <c r="E9" s="741"/>
      <c r="F9" s="741"/>
      <c r="G9" s="741"/>
      <c r="H9" s="741"/>
      <c r="I9" s="741"/>
      <c r="J9" s="741"/>
      <c r="K9" s="741"/>
      <c r="L9" s="881"/>
      <c r="M9" s="1000"/>
      <c r="N9" s="741"/>
    </row>
    <row r="10" spans="1:14" x14ac:dyDescent="0.2">
      <c r="A10" s="741"/>
      <c r="B10" s="874"/>
      <c r="C10" s="875"/>
      <c r="D10" s="876"/>
      <c r="E10" s="877"/>
      <c r="F10" s="877"/>
      <c r="G10" s="877"/>
      <c r="H10" s="877"/>
      <c r="I10" s="877"/>
      <c r="J10" s="877"/>
      <c r="K10" s="877"/>
      <c r="L10" s="882"/>
      <c r="M10" s="1000"/>
      <c r="N10" s="741"/>
    </row>
    <row r="11" spans="1:14" x14ac:dyDescent="0.2">
      <c r="A11" s="741"/>
      <c r="B11" s="741"/>
      <c r="C11" s="741"/>
      <c r="D11" s="741"/>
      <c r="E11" s="741"/>
      <c r="F11" s="741"/>
      <c r="G11" s="741"/>
      <c r="H11" s="741"/>
      <c r="I11" s="741"/>
      <c r="J11" s="741"/>
      <c r="K11" s="741"/>
      <c r="L11" s="741"/>
      <c r="M11" s="1000"/>
      <c r="N11" s="741"/>
    </row>
    <row r="12" spans="1:14" ht="19.5" customHeight="1" x14ac:dyDescent="0.2">
      <c r="A12" s="741"/>
      <c r="B12" s="862" t="s">
        <v>1005</v>
      </c>
      <c r="C12" s="863"/>
      <c r="D12" s="863"/>
      <c r="E12" s="864"/>
      <c r="F12" s="865"/>
      <c r="G12" s="865"/>
      <c r="H12" s="865"/>
      <c r="I12" s="865"/>
      <c r="J12" s="865"/>
      <c r="K12" s="865"/>
      <c r="L12" s="865"/>
      <c r="M12" s="741"/>
      <c r="N12" s="741"/>
    </row>
    <row r="13" spans="1:14" outlineLevel="1" x14ac:dyDescent="0.2">
      <c r="A13" s="741"/>
      <c r="B13" s="893" t="s">
        <v>1006</v>
      </c>
      <c r="C13" s="894"/>
      <c r="D13" s="895"/>
      <c r="E13" s="896"/>
      <c r="F13" s="879"/>
      <c r="G13" s="879"/>
      <c r="H13" s="879"/>
      <c r="I13" s="879"/>
      <c r="J13" s="879"/>
      <c r="K13" s="879"/>
      <c r="L13" s="880"/>
      <c r="M13" s="741"/>
      <c r="N13" s="741"/>
    </row>
    <row r="14" spans="1:14" outlineLevel="1" x14ac:dyDescent="0.2">
      <c r="A14" s="741"/>
      <c r="B14" s="885" t="s">
        <v>1007</v>
      </c>
      <c r="C14" s="884"/>
      <c r="D14" s="886">
        <v>2022</v>
      </c>
      <c r="E14" s="887"/>
      <c r="F14" s="741"/>
      <c r="G14" s="741"/>
      <c r="H14" s="741"/>
      <c r="I14" s="741"/>
      <c r="J14" s="741"/>
      <c r="K14" s="741"/>
      <c r="L14" s="881"/>
      <c r="M14" s="741"/>
      <c r="N14" s="741"/>
    </row>
    <row r="15" spans="1:14" outlineLevel="1" x14ac:dyDescent="0.2">
      <c r="A15" s="741"/>
      <c r="B15" s="885" t="s">
        <v>1008</v>
      </c>
      <c r="C15" s="884"/>
      <c r="D15" s="888"/>
      <c r="E15" s="887" t="s">
        <v>1009</v>
      </c>
      <c r="F15" s="741"/>
      <c r="G15" s="741"/>
      <c r="H15" s="897">
        <v>365</v>
      </c>
      <c r="I15" s="897">
        <v>365</v>
      </c>
      <c r="J15" s="897">
        <v>365</v>
      </c>
      <c r="K15" s="898">
        <v>365</v>
      </c>
      <c r="L15" s="983">
        <v>365</v>
      </c>
      <c r="M15" s="741"/>
      <c r="N15" s="741"/>
    </row>
    <row r="16" spans="1:14" outlineLevel="1" x14ac:dyDescent="0.2">
      <c r="A16" s="741"/>
      <c r="B16" s="885" t="s">
        <v>1010</v>
      </c>
      <c r="C16" s="884"/>
      <c r="D16" s="886">
        <v>12</v>
      </c>
      <c r="E16" s="887" t="s">
        <v>1009</v>
      </c>
      <c r="F16" s="741"/>
      <c r="G16" s="741"/>
      <c r="H16" s="897">
        <v>12</v>
      </c>
      <c r="I16" s="897">
        <v>12</v>
      </c>
      <c r="J16" s="897">
        <v>12</v>
      </c>
      <c r="K16" s="897">
        <v>12</v>
      </c>
      <c r="L16" s="983">
        <v>12</v>
      </c>
      <c r="M16" s="741"/>
      <c r="N16" s="741"/>
    </row>
    <row r="17" spans="1:15" outlineLevel="1" x14ac:dyDescent="0.2">
      <c r="A17" s="741"/>
      <c r="B17" s="899"/>
      <c r="C17" s="741"/>
      <c r="D17" s="741"/>
      <c r="E17" s="741"/>
      <c r="F17" s="741"/>
      <c r="G17" s="741"/>
      <c r="H17" s="741"/>
      <c r="I17" s="741"/>
      <c r="J17" s="741"/>
      <c r="K17" s="741"/>
      <c r="L17" s="881"/>
      <c r="M17" s="741"/>
      <c r="N17" s="741"/>
    </row>
    <row r="18" spans="1:15" ht="7.15" customHeight="1" outlineLevel="1" x14ac:dyDescent="0.2">
      <c r="A18" s="741"/>
      <c r="B18" s="885"/>
      <c r="C18" s="884"/>
      <c r="D18" s="887"/>
      <c r="E18" s="887"/>
      <c r="F18" s="741"/>
      <c r="G18" s="741"/>
      <c r="H18" s="741"/>
      <c r="I18" s="741"/>
      <c r="J18" s="741"/>
      <c r="K18" s="741"/>
      <c r="L18" s="881"/>
      <c r="M18" s="741"/>
      <c r="N18" s="741"/>
    </row>
    <row r="19" spans="1:15" outlineLevel="1" x14ac:dyDescent="0.2">
      <c r="A19" s="741"/>
      <c r="B19" s="885" t="s">
        <v>1013</v>
      </c>
      <c r="C19" s="884"/>
      <c r="D19" s="886" t="e">
        <f>#REF!</f>
        <v>#REF!</v>
      </c>
      <c r="E19" s="887" t="s">
        <v>1014</v>
      </c>
      <c r="F19" s="741"/>
      <c r="G19" s="741"/>
      <c r="H19" s="741"/>
      <c r="I19" s="741"/>
      <c r="J19" s="741"/>
      <c r="K19" s="741"/>
      <c r="L19" s="881"/>
      <c r="M19" s="741"/>
      <c r="N19" s="741"/>
    </row>
    <row r="20" spans="1:15" outlineLevel="1" x14ac:dyDescent="0.2">
      <c r="A20" s="741"/>
      <c r="B20" s="885" t="s">
        <v>1017</v>
      </c>
      <c r="C20" s="884"/>
      <c r="D20" s="889">
        <v>0.21</v>
      </c>
      <c r="E20" s="887"/>
      <c r="F20" s="741"/>
      <c r="G20" s="741"/>
      <c r="H20" s="900">
        <f>D20</f>
        <v>0.21</v>
      </c>
      <c r="I20" s="900">
        <f>H20</f>
        <v>0.21</v>
      </c>
      <c r="J20" s="900">
        <f t="shared" ref="J20:L20" si="1">I20</f>
        <v>0.21</v>
      </c>
      <c r="K20" s="900">
        <f t="shared" si="1"/>
        <v>0.21</v>
      </c>
      <c r="L20" s="1012">
        <f t="shared" si="1"/>
        <v>0.21</v>
      </c>
      <c r="M20" s="741"/>
      <c r="N20" s="741"/>
    </row>
    <row r="21" spans="1:15" outlineLevel="1" x14ac:dyDescent="0.2">
      <c r="A21" s="741"/>
      <c r="B21" s="885" t="s">
        <v>1011</v>
      </c>
      <c r="C21" s="884"/>
      <c r="D21" s="889">
        <v>0.104</v>
      </c>
      <c r="E21" s="887"/>
      <c r="F21" s="741"/>
      <c r="G21" s="741"/>
      <c r="H21" s="900">
        <f>D21</f>
        <v>0.104</v>
      </c>
      <c r="I21" s="902">
        <v>9.4E-2</v>
      </c>
      <c r="J21" s="902">
        <v>5.3999999999999999E-2</v>
      </c>
      <c r="K21" s="902">
        <v>3.5000000000000003E-2</v>
      </c>
      <c r="L21" s="1012">
        <f t="shared" ref="L21" si="2">K21</f>
        <v>3.5000000000000003E-2</v>
      </c>
      <c r="M21" s="741"/>
      <c r="N21" s="741"/>
    </row>
    <row r="22" spans="1:15" outlineLevel="1" x14ac:dyDescent="0.2">
      <c r="A22" s="741"/>
      <c r="B22" s="899" t="s">
        <v>1015</v>
      </c>
      <c r="C22" s="741"/>
      <c r="D22" s="741"/>
      <c r="E22" s="741"/>
      <c r="F22" s="741"/>
      <c r="G22" s="741"/>
      <c r="H22" s="897">
        <v>0</v>
      </c>
      <c r="I22" s="897">
        <f>H22+1</f>
        <v>1</v>
      </c>
      <c r="J22" s="897">
        <f t="shared" ref="J22:L22" si="3">I22+1</f>
        <v>2</v>
      </c>
      <c r="K22" s="897">
        <f t="shared" si="3"/>
        <v>3</v>
      </c>
      <c r="L22" s="983">
        <f t="shared" si="3"/>
        <v>4</v>
      </c>
      <c r="M22" s="741"/>
      <c r="N22" s="741"/>
    </row>
    <row r="23" spans="1:15" outlineLevel="1" x14ac:dyDescent="0.2">
      <c r="A23" s="741"/>
      <c r="B23" s="899" t="s">
        <v>1016</v>
      </c>
      <c r="C23" s="741"/>
      <c r="D23" s="741"/>
      <c r="E23" s="741"/>
      <c r="F23" s="741"/>
      <c r="G23" s="741"/>
      <c r="H23" s="901">
        <f>(1+H21)^H22</f>
        <v>1</v>
      </c>
      <c r="I23" s="901">
        <f t="shared" ref="I23:L23" si="4">(1+I21)^I22</f>
        <v>1.0940000000000001</v>
      </c>
      <c r="J23" s="901">
        <f t="shared" si="4"/>
        <v>1.110916</v>
      </c>
      <c r="K23" s="901">
        <f t="shared" si="4"/>
        <v>1.1087178749999997</v>
      </c>
      <c r="L23" s="1013">
        <f t="shared" si="4"/>
        <v>1.1475230006249997</v>
      </c>
      <c r="M23" s="741"/>
      <c r="N23" s="741"/>
    </row>
    <row r="24" spans="1:15" outlineLevel="1" x14ac:dyDescent="0.2">
      <c r="A24" s="741"/>
      <c r="B24" s="903"/>
      <c r="C24" s="877"/>
      <c r="D24" s="877"/>
      <c r="E24" s="877"/>
      <c r="F24" s="877"/>
      <c r="G24" s="877"/>
      <c r="H24" s="1124"/>
      <c r="I24" s="1124"/>
      <c r="J24" s="1124"/>
      <c r="K24" s="1124"/>
      <c r="L24" s="1188"/>
      <c r="M24" s="741"/>
      <c r="N24" s="741"/>
    </row>
    <row r="25" spans="1:15" x14ac:dyDescent="0.2">
      <c r="A25" s="741"/>
      <c r="B25" s="741"/>
      <c r="C25" s="741"/>
      <c r="D25" s="741"/>
      <c r="E25" s="741"/>
      <c r="F25" s="741"/>
      <c r="G25" s="741"/>
      <c r="H25" s="741"/>
      <c r="I25" s="741"/>
      <c r="J25" s="741"/>
      <c r="K25" s="741"/>
      <c r="L25" s="741"/>
      <c r="M25" s="741"/>
      <c r="N25" s="741"/>
    </row>
    <row r="26" spans="1:15" ht="19.5" customHeight="1" x14ac:dyDescent="0.2">
      <c r="A26" s="741"/>
      <c r="B26" s="862" t="s">
        <v>45</v>
      </c>
      <c r="C26" s="863"/>
      <c r="D26" s="863"/>
      <c r="E26" s="864"/>
      <c r="F26" s="865"/>
      <c r="G26" s="865"/>
      <c r="H26" s="865"/>
      <c r="I26" s="865"/>
      <c r="J26" s="865"/>
      <c r="K26" s="865"/>
      <c r="L26" s="865"/>
      <c r="M26" s="741"/>
      <c r="N26" s="741"/>
    </row>
    <row r="27" spans="1:15" outlineLevel="1" x14ac:dyDescent="0.2">
      <c r="A27" s="741"/>
      <c r="B27" s="893" t="s">
        <v>45</v>
      </c>
      <c r="C27" s="879"/>
      <c r="D27" s="879"/>
      <c r="E27" s="879"/>
      <c r="F27" s="879"/>
      <c r="G27" s="879"/>
      <c r="H27" s="972">
        <f>H2</f>
        <v>2022</v>
      </c>
      <c r="I27" s="972">
        <f>I2</f>
        <v>2023</v>
      </c>
      <c r="J27" s="972">
        <f>J2</f>
        <v>2024</v>
      </c>
      <c r="K27" s="972">
        <f>K2</f>
        <v>2025</v>
      </c>
      <c r="L27" s="1112">
        <f>L2</f>
        <v>2026</v>
      </c>
      <c r="M27" s="741"/>
      <c r="N27" s="741"/>
    </row>
    <row r="28" spans="1:15" outlineLevel="1" x14ac:dyDescent="0.2">
      <c r="A28" s="741"/>
      <c r="B28" s="885" t="s">
        <v>1029</v>
      </c>
      <c r="C28" s="884"/>
      <c r="D28" s="884"/>
      <c r="E28" s="1086" t="s">
        <v>1062</v>
      </c>
      <c r="F28" s="741"/>
      <c r="G28" s="741"/>
      <c r="H28" s="741"/>
      <c r="I28" s="741"/>
      <c r="J28" s="741"/>
      <c r="K28" s="741"/>
      <c r="L28" s="881"/>
      <c r="M28" s="741"/>
      <c r="N28" s="741"/>
    </row>
    <row r="29" spans="1:15" outlineLevel="1" x14ac:dyDescent="0.2">
      <c r="A29" s="741"/>
      <c r="B29" s="899"/>
      <c r="C29" s="741"/>
      <c r="D29" s="741"/>
      <c r="E29" s="741"/>
      <c r="F29" s="741"/>
      <c r="G29" s="741"/>
      <c r="H29" s="741"/>
      <c r="I29" s="741"/>
      <c r="J29" s="741"/>
      <c r="K29" s="741"/>
      <c r="L29" s="881"/>
      <c r="M29" s="741"/>
      <c r="N29" s="741"/>
    </row>
    <row r="30" spans="1:15" outlineLevel="1" x14ac:dyDescent="0.2">
      <c r="A30" s="741"/>
      <c r="B30" s="119" t="s">
        <v>487</v>
      </c>
      <c r="C30" s="741"/>
      <c r="D30" s="913">
        <v>310000</v>
      </c>
      <c r="E30" s="973" t="s">
        <v>1168</v>
      </c>
      <c r="F30" s="741"/>
      <c r="G30" s="741"/>
      <c r="H30" s="741">
        <f>D30</f>
        <v>310000</v>
      </c>
      <c r="I30" s="976">
        <f>Scenario!J7</f>
        <v>150</v>
      </c>
      <c r="J30" s="976">
        <f>Scenario!K7</f>
        <v>195</v>
      </c>
      <c r="K30" s="976">
        <f>Scenario!L7</f>
        <v>253.5</v>
      </c>
      <c r="L30" s="1178">
        <f>Scenario!M7</f>
        <v>304.2</v>
      </c>
      <c r="M30" s="741"/>
      <c r="N30" s="741"/>
      <c r="O30" s="1190"/>
    </row>
    <row r="31" spans="1:15" outlineLevel="1" x14ac:dyDescent="0.2">
      <c r="A31" s="741"/>
      <c r="B31" s="119" t="s">
        <v>622</v>
      </c>
      <c r="C31" s="741"/>
      <c r="D31" s="913">
        <v>5000</v>
      </c>
      <c r="E31" s="887" t="s">
        <v>1014</v>
      </c>
      <c r="F31" s="741"/>
      <c r="G31" s="741"/>
      <c r="H31" s="978">
        <v>0</v>
      </c>
      <c r="I31" s="978">
        <f>$D$31*I16*I23</f>
        <v>65640</v>
      </c>
      <c r="J31" s="741">
        <f t="shared" ref="J31:L31" si="5">I31*(1+0.02)</f>
        <v>66952.800000000003</v>
      </c>
      <c r="K31" s="741">
        <f t="shared" si="5"/>
        <v>68291.856</v>
      </c>
      <c r="L31" s="881">
        <f t="shared" si="5"/>
        <v>69657.693119999996</v>
      </c>
      <c r="M31" s="741"/>
      <c r="N31" s="741"/>
    </row>
    <row r="32" spans="1:15" outlineLevel="1" x14ac:dyDescent="0.2">
      <c r="A32" s="741"/>
      <c r="B32" s="899"/>
      <c r="C32" s="741"/>
      <c r="D32" s="741"/>
      <c r="E32" s="741"/>
      <c r="F32" s="741"/>
      <c r="G32" s="741"/>
      <c r="H32" s="741"/>
      <c r="I32" s="741"/>
      <c r="J32" s="741"/>
      <c r="K32" s="741"/>
      <c r="L32" s="881"/>
      <c r="M32" s="741"/>
      <c r="N32" s="741"/>
    </row>
    <row r="33" spans="1:16" outlineLevel="1" x14ac:dyDescent="0.2">
      <c r="A33" s="741"/>
      <c r="B33" s="916" t="s">
        <v>1019</v>
      </c>
      <c r="C33" s="741"/>
      <c r="D33" s="741"/>
      <c r="E33" s="741"/>
      <c r="F33" s="741"/>
      <c r="G33" s="741"/>
      <c r="H33" s="904">
        <f>SUM(H30:H31)</f>
        <v>310000</v>
      </c>
      <c r="I33" s="904">
        <f>SUM(I30:I31)</f>
        <v>65790</v>
      </c>
      <c r="J33" s="904">
        <f t="shared" ref="J33:L33" si="6">SUM(J30:J31)</f>
        <v>67147.8</v>
      </c>
      <c r="K33" s="904">
        <f t="shared" si="6"/>
        <v>68545.356</v>
      </c>
      <c r="L33" s="1015">
        <f t="shared" si="6"/>
        <v>69961.893119999993</v>
      </c>
      <c r="M33" s="741"/>
      <c r="N33" s="741"/>
      <c r="P33" s="1191"/>
    </row>
    <row r="34" spans="1:16" outlineLevel="1" x14ac:dyDescent="0.2">
      <c r="A34" s="741"/>
      <c r="B34" s="903"/>
      <c r="C34" s="877"/>
      <c r="D34" s="877"/>
      <c r="E34" s="877"/>
      <c r="F34" s="877"/>
      <c r="G34" s="877"/>
      <c r="H34" s="877"/>
      <c r="I34" s="877"/>
      <c r="J34" s="877"/>
      <c r="K34" s="877"/>
      <c r="L34" s="882"/>
      <c r="M34" s="741"/>
      <c r="N34" s="741"/>
    </row>
    <row r="35" spans="1:16" x14ac:dyDescent="0.2">
      <c r="A35" s="741"/>
      <c r="B35" s="741"/>
      <c r="C35" s="741"/>
      <c r="D35" s="741"/>
      <c r="E35" s="741"/>
      <c r="F35" s="741"/>
      <c r="G35" s="741"/>
      <c r="H35" s="741"/>
      <c r="I35" s="741"/>
      <c r="J35" s="741"/>
      <c r="K35" s="741"/>
      <c r="L35" s="741"/>
      <c r="M35" s="741"/>
      <c r="N35" s="741"/>
    </row>
    <row r="36" spans="1:16" ht="19.5" customHeight="1" x14ac:dyDescent="0.2">
      <c r="A36" s="741"/>
      <c r="B36" s="862" t="s">
        <v>48</v>
      </c>
      <c r="C36" s="863"/>
      <c r="D36" s="863"/>
      <c r="E36" s="864"/>
      <c r="F36" s="865"/>
      <c r="G36" s="865"/>
      <c r="H36" s="865"/>
      <c r="I36" s="865"/>
      <c r="J36" s="865"/>
      <c r="K36" s="865"/>
      <c r="L36" s="865"/>
      <c r="M36" s="741"/>
      <c r="N36" s="741"/>
      <c r="O36" s="1192"/>
    </row>
    <row r="37" spans="1:16" outlineLevel="1" x14ac:dyDescent="0.2">
      <c r="A37" s="741"/>
      <c r="B37" s="893" t="s">
        <v>48</v>
      </c>
      <c r="C37" s="879"/>
      <c r="D37" s="879"/>
      <c r="E37" s="879"/>
      <c r="F37" s="879"/>
      <c r="G37" s="879"/>
      <c r="H37" s="879"/>
      <c r="I37" s="879"/>
      <c r="J37" s="879"/>
      <c r="K37" s="879"/>
      <c r="L37" s="880"/>
      <c r="M37" s="741"/>
      <c r="N37" s="741"/>
    </row>
    <row r="38" spans="1:16" outlineLevel="1" x14ac:dyDescent="0.2">
      <c r="A38" s="741"/>
      <c r="B38" s="899" t="s">
        <v>623</v>
      </c>
      <c r="C38" s="741"/>
      <c r="D38" s="741"/>
      <c r="E38" s="973" t="s">
        <v>1066</v>
      </c>
      <c r="F38" s="741"/>
      <c r="G38" s="741"/>
      <c r="H38" s="982">
        <f>Scenario!J11</f>
        <v>0</v>
      </c>
      <c r="I38" s="982">
        <f>Scenario!K11</f>
        <v>0.3</v>
      </c>
      <c r="J38" s="982">
        <f>Scenario!L11</f>
        <v>0.3</v>
      </c>
      <c r="K38" s="982">
        <f>Scenario!M11</f>
        <v>0.2</v>
      </c>
      <c r="L38" s="1014">
        <f>Scenario!N11</f>
        <v>0.2</v>
      </c>
      <c r="M38" s="741"/>
      <c r="N38" s="741"/>
    </row>
    <row r="39" spans="1:16" outlineLevel="1" x14ac:dyDescent="0.2">
      <c r="A39" s="741"/>
      <c r="B39" s="899" t="s">
        <v>623</v>
      </c>
      <c r="C39" s="741"/>
      <c r="D39" s="741"/>
      <c r="E39" s="973"/>
      <c r="F39" s="741"/>
      <c r="G39" s="741"/>
      <c r="H39" s="741">
        <f>H38*H30</f>
        <v>0</v>
      </c>
      <c r="I39" s="741">
        <f t="shared" ref="I39:L39" si="7">I38*I30</f>
        <v>45</v>
      </c>
      <c r="J39" s="741">
        <f t="shared" si="7"/>
        <v>58.5</v>
      </c>
      <c r="K39" s="741">
        <f t="shared" si="7"/>
        <v>50.7</v>
      </c>
      <c r="L39" s="881">
        <f t="shared" si="7"/>
        <v>60.84</v>
      </c>
      <c r="M39" s="741"/>
      <c r="N39" s="741"/>
    </row>
    <row r="40" spans="1:16" outlineLevel="1" x14ac:dyDescent="0.2">
      <c r="A40" s="741"/>
      <c r="B40" s="899" t="s">
        <v>1091</v>
      </c>
      <c r="C40" s="741"/>
      <c r="D40" s="889">
        <v>0.06</v>
      </c>
      <c r="E40" s="973" t="s">
        <v>1066</v>
      </c>
      <c r="F40" s="741"/>
      <c r="G40" s="741"/>
      <c r="H40" s="741">
        <f>$D$40*H30</f>
        <v>18600</v>
      </c>
      <c r="I40" s="741">
        <f t="shared" ref="I40:L40" si="8">$D$40*I30</f>
        <v>9</v>
      </c>
      <c r="J40" s="741">
        <f t="shared" si="8"/>
        <v>11.7</v>
      </c>
      <c r="K40" s="741">
        <f t="shared" si="8"/>
        <v>15.209999999999999</v>
      </c>
      <c r="L40" s="881">
        <f t="shared" si="8"/>
        <v>18.251999999999999</v>
      </c>
      <c r="M40" s="741"/>
      <c r="N40" s="741"/>
    </row>
    <row r="41" spans="1:16" outlineLevel="1" x14ac:dyDescent="0.2">
      <c r="A41" s="741"/>
      <c r="B41" s="899" t="s">
        <v>1093</v>
      </c>
      <c r="C41" s="741"/>
      <c r="D41" s="913">
        <f>-AVERAGE(Projections!H19:I19)</f>
        <v>0</v>
      </c>
      <c r="E41" s="973" t="s">
        <v>1092</v>
      </c>
      <c r="F41" s="741"/>
      <c r="G41" s="741"/>
      <c r="H41" s="741">
        <f>D41</f>
        <v>0</v>
      </c>
      <c r="I41" s="741">
        <f>H41</f>
        <v>0</v>
      </c>
      <c r="J41" s="741">
        <f t="shared" ref="J41:L41" si="9">I41</f>
        <v>0</v>
      </c>
      <c r="K41" s="741">
        <f t="shared" si="9"/>
        <v>0</v>
      </c>
      <c r="L41" s="881">
        <f t="shared" si="9"/>
        <v>0</v>
      </c>
      <c r="M41" s="741"/>
      <c r="N41" s="741"/>
      <c r="O41" s="1192"/>
    </row>
    <row r="42" spans="1:16" outlineLevel="1" x14ac:dyDescent="0.2">
      <c r="A42" s="741"/>
      <c r="B42" s="899"/>
      <c r="C42" s="741"/>
      <c r="D42" s="741"/>
      <c r="E42" s="741"/>
      <c r="F42" s="741"/>
      <c r="G42" s="741"/>
      <c r="H42" s="741"/>
      <c r="I42" s="741"/>
      <c r="J42" s="741"/>
      <c r="K42" s="741"/>
      <c r="L42" s="881"/>
      <c r="M42" s="741"/>
      <c r="N42" s="741"/>
    </row>
    <row r="43" spans="1:16" outlineLevel="1" x14ac:dyDescent="0.2">
      <c r="A43" s="741"/>
      <c r="B43" s="916" t="s">
        <v>1030</v>
      </c>
      <c r="C43" s="741"/>
      <c r="D43" s="741"/>
      <c r="E43" s="741"/>
      <c r="F43" s="741"/>
      <c r="G43" s="741"/>
      <c r="H43" s="904">
        <f>SUM(H39:H41)</f>
        <v>18600</v>
      </c>
      <c r="I43" s="904">
        <f t="shared" ref="I43:L43" si="10">SUM(I39:I41)</f>
        <v>54</v>
      </c>
      <c r="J43" s="904">
        <f t="shared" si="10"/>
        <v>70.2</v>
      </c>
      <c r="K43" s="904">
        <f t="shared" si="10"/>
        <v>65.91</v>
      </c>
      <c r="L43" s="1015">
        <f t="shared" si="10"/>
        <v>79.091999999999999</v>
      </c>
      <c r="M43" s="741"/>
      <c r="N43" s="741"/>
    </row>
    <row r="44" spans="1:16" outlineLevel="1" x14ac:dyDescent="0.2">
      <c r="A44" s="741"/>
      <c r="B44" s="974" t="s">
        <v>1031</v>
      </c>
      <c r="C44" s="741"/>
      <c r="D44" s="741"/>
      <c r="E44" s="741"/>
      <c r="F44" s="741"/>
      <c r="G44" s="741"/>
      <c r="H44" s="973">
        <f>H33-H43</f>
        <v>291400</v>
      </c>
      <c r="I44" s="973">
        <f>I33-I43</f>
        <v>65736</v>
      </c>
      <c r="J44" s="973">
        <f>J33-J43</f>
        <v>67077.600000000006</v>
      </c>
      <c r="K44" s="973">
        <f>K33-K43</f>
        <v>68479.445999999996</v>
      </c>
      <c r="L44" s="1187">
        <f>L33-L43</f>
        <v>69882.801119999989</v>
      </c>
      <c r="M44" s="741"/>
      <c r="N44" s="741"/>
    </row>
    <row r="45" spans="1:16" outlineLevel="1" x14ac:dyDescent="0.2">
      <c r="A45" s="741"/>
      <c r="B45" s="974"/>
      <c r="C45" s="741"/>
      <c r="D45" s="741"/>
      <c r="E45" s="741"/>
      <c r="F45" s="741"/>
      <c r="G45" s="741"/>
      <c r="H45" s="1281">
        <f>H44/H33</f>
        <v>0.94</v>
      </c>
      <c r="I45" s="1281">
        <f t="shared" ref="I45:L45" si="11">I44/I33</f>
        <v>0.99917920656634751</v>
      </c>
      <c r="J45" s="1281">
        <f t="shared" si="11"/>
        <v>0.99895454504838588</v>
      </c>
      <c r="K45" s="1281">
        <f t="shared" si="11"/>
        <v>0.99903844689346999</v>
      </c>
      <c r="L45" s="1292">
        <f t="shared" si="11"/>
        <v>0.99886949885898102</v>
      </c>
      <c r="M45" s="741"/>
      <c r="N45" s="741"/>
    </row>
    <row r="46" spans="1:16" outlineLevel="1" x14ac:dyDescent="0.2">
      <c r="A46" s="741"/>
      <c r="B46" s="1283" t="s">
        <v>497</v>
      </c>
      <c r="C46" s="741"/>
      <c r="D46" s="741"/>
      <c r="E46" s="741"/>
      <c r="F46" s="741"/>
      <c r="G46" s="741"/>
      <c r="H46" s="978">
        <v>0</v>
      </c>
      <c r="I46" s="897">
        <v>25000</v>
      </c>
      <c r="J46" s="978">
        <v>0</v>
      </c>
      <c r="K46" s="978">
        <v>0</v>
      </c>
      <c r="L46" s="1184">
        <v>0</v>
      </c>
      <c r="M46" s="741"/>
      <c r="N46" s="741"/>
    </row>
    <row r="47" spans="1:16" outlineLevel="1" x14ac:dyDescent="0.2">
      <c r="A47" s="741"/>
      <c r="B47" s="903"/>
      <c r="C47" s="877"/>
      <c r="D47" s="877"/>
      <c r="E47" s="877"/>
      <c r="F47" s="877"/>
      <c r="G47" s="877"/>
      <c r="H47" s="1282"/>
      <c r="I47" s="1282"/>
      <c r="J47" s="1282"/>
      <c r="K47" s="1282"/>
      <c r="L47" s="1291"/>
      <c r="M47" s="741"/>
      <c r="N47" s="741"/>
    </row>
    <row r="48" spans="1:16" x14ac:dyDescent="0.2">
      <c r="A48" s="741"/>
      <c r="B48" s="741"/>
      <c r="C48" s="741"/>
      <c r="D48" s="741"/>
      <c r="E48" s="741"/>
      <c r="F48" s="741"/>
      <c r="G48" s="741"/>
      <c r="H48" s="915"/>
      <c r="I48" s="915"/>
      <c r="J48" s="915"/>
      <c r="K48" s="915"/>
      <c r="L48" s="915"/>
      <c r="M48" s="741"/>
      <c r="N48" s="741"/>
    </row>
    <row r="49" spans="1:14" ht="19.5" customHeight="1" x14ac:dyDescent="0.2">
      <c r="A49" s="741"/>
      <c r="B49" s="862" t="s">
        <v>59</v>
      </c>
      <c r="C49" s="863"/>
      <c r="D49" s="863"/>
      <c r="E49" s="864"/>
      <c r="F49" s="865"/>
      <c r="G49" s="865"/>
      <c r="H49" s="865"/>
      <c r="I49" s="865"/>
      <c r="J49" s="865"/>
      <c r="K49" s="865"/>
      <c r="L49" s="865"/>
      <c r="M49" s="741"/>
      <c r="N49" s="741"/>
    </row>
    <row r="50" spans="1:14" outlineLevel="1" x14ac:dyDescent="0.2">
      <c r="A50" s="741"/>
      <c r="B50" s="893" t="s">
        <v>1021</v>
      </c>
      <c r="C50" s="879"/>
      <c r="D50" s="879"/>
      <c r="E50" s="879"/>
      <c r="F50" s="879"/>
      <c r="G50" s="879"/>
      <c r="H50" s="879"/>
      <c r="I50" s="879"/>
      <c r="J50" s="879"/>
      <c r="K50" s="879"/>
      <c r="L50" s="880"/>
      <c r="M50" s="741"/>
      <c r="N50" s="741"/>
    </row>
    <row r="51" spans="1:14" outlineLevel="1" x14ac:dyDescent="0.2">
      <c r="A51" s="741"/>
      <c r="B51" s="899" t="s">
        <v>59</v>
      </c>
      <c r="C51" s="741"/>
      <c r="D51" s="973"/>
      <c r="E51" s="973" t="s">
        <v>1066</v>
      </c>
      <c r="F51" s="741"/>
      <c r="G51" s="741"/>
      <c r="H51" s="982" t="e">
        <f>Scenario!#REF!</f>
        <v>#REF!</v>
      </c>
      <c r="I51" s="982" t="e">
        <f>Scenario!#REF!</f>
        <v>#REF!</v>
      </c>
      <c r="J51" s="982" t="e">
        <f>Scenario!#REF!</f>
        <v>#REF!</v>
      </c>
      <c r="K51" s="982" t="e">
        <f>Scenario!#REF!</f>
        <v>#REF!</v>
      </c>
      <c r="L51" s="1014" t="e">
        <f>Scenario!#REF!</f>
        <v>#REF!</v>
      </c>
      <c r="M51" s="741"/>
      <c r="N51" s="741"/>
    </row>
    <row r="52" spans="1:14" outlineLevel="1" x14ac:dyDescent="0.2">
      <c r="A52" s="741"/>
      <c r="B52" s="899" t="s">
        <v>1171</v>
      </c>
      <c r="C52" s="741"/>
      <c r="D52" s="973"/>
      <c r="E52" s="973"/>
      <c r="F52" s="741"/>
      <c r="G52" s="741"/>
      <c r="H52" s="741" t="e">
        <f>H51*H30</f>
        <v>#REF!</v>
      </c>
      <c r="I52" s="741" t="e">
        <f t="shared" ref="I52:L52" si="12">I51*I30</f>
        <v>#REF!</v>
      </c>
      <c r="J52" s="741" t="e">
        <f t="shared" si="12"/>
        <v>#REF!</v>
      </c>
      <c r="K52" s="741" t="e">
        <f t="shared" si="12"/>
        <v>#REF!</v>
      </c>
      <c r="L52" s="881" t="e">
        <f t="shared" si="12"/>
        <v>#REF!</v>
      </c>
      <c r="M52" s="741"/>
      <c r="N52" s="741"/>
    </row>
    <row r="53" spans="1:14" outlineLevel="1" x14ac:dyDescent="0.2">
      <c r="A53" s="741"/>
      <c r="B53" s="916"/>
      <c r="C53" s="741"/>
      <c r="D53" s="741"/>
      <c r="E53" s="741"/>
      <c r="F53" s="741"/>
      <c r="G53" s="741"/>
      <c r="H53" s="741"/>
      <c r="I53" s="741"/>
      <c r="J53" s="741"/>
      <c r="K53" s="741"/>
      <c r="L53" s="881"/>
      <c r="M53" s="741"/>
      <c r="N53" s="741"/>
    </row>
    <row r="54" spans="1:14" outlineLevel="1" x14ac:dyDescent="0.2">
      <c r="A54" s="741"/>
      <c r="B54" s="916" t="s">
        <v>1033</v>
      </c>
      <c r="C54" s="741"/>
      <c r="D54" s="741"/>
      <c r="E54" s="741"/>
      <c r="F54" s="741"/>
      <c r="G54" s="741"/>
      <c r="H54" s="904" t="e">
        <f>H52</f>
        <v>#REF!</v>
      </c>
      <c r="I54" s="904" t="e">
        <f t="shared" ref="I54:L54" si="13">I52</f>
        <v>#REF!</v>
      </c>
      <c r="J54" s="904" t="e">
        <f t="shared" si="13"/>
        <v>#REF!</v>
      </c>
      <c r="K54" s="904" t="e">
        <f t="shared" si="13"/>
        <v>#REF!</v>
      </c>
      <c r="L54" s="1015" t="e">
        <f t="shared" si="13"/>
        <v>#REF!</v>
      </c>
      <c r="M54" s="741"/>
      <c r="N54" s="741"/>
    </row>
    <row r="55" spans="1:14" outlineLevel="1" x14ac:dyDescent="0.2">
      <c r="A55" s="741"/>
      <c r="B55" s="917"/>
      <c r="C55" s="877"/>
      <c r="D55" s="877"/>
      <c r="E55" s="877"/>
      <c r="F55" s="877"/>
      <c r="G55" s="877"/>
      <c r="H55" s="877"/>
      <c r="I55" s="877"/>
      <c r="J55" s="877"/>
      <c r="K55" s="877"/>
      <c r="L55" s="882"/>
      <c r="M55" s="741"/>
      <c r="N55" s="741"/>
    </row>
    <row r="56" spans="1:14" x14ac:dyDescent="0.2">
      <c r="A56" s="741"/>
      <c r="B56" s="741"/>
      <c r="C56" s="741"/>
      <c r="D56" s="741"/>
      <c r="E56" s="741"/>
      <c r="F56" s="741"/>
      <c r="G56" s="741"/>
      <c r="H56" s="741"/>
      <c r="I56" s="741"/>
      <c r="J56" s="741"/>
      <c r="K56" s="741"/>
      <c r="L56" s="741"/>
      <c r="M56" s="741"/>
      <c r="N56" s="741"/>
    </row>
    <row r="57" spans="1:14" ht="19.5" customHeight="1" x14ac:dyDescent="0.2">
      <c r="A57" s="741"/>
      <c r="B57" s="862" t="s">
        <v>1020</v>
      </c>
      <c r="C57" s="863"/>
      <c r="D57" s="863"/>
      <c r="E57" s="864"/>
      <c r="F57" s="865"/>
      <c r="G57" s="865"/>
      <c r="H57" s="865"/>
      <c r="I57" s="865"/>
      <c r="J57" s="865"/>
      <c r="K57" s="865"/>
      <c r="L57" s="865"/>
      <c r="M57" s="741"/>
      <c r="N57" s="741"/>
    </row>
    <row r="58" spans="1:14" outlineLevel="1" x14ac:dyDescent="0.2">
      <c r="A58" s="741"/>
      <c r="B58" s="893" t="s">
        <v>626</v>
      </c>
      <c r="C58" s="879"/>
      <c r="D58" s="879"/>
      <c r="E58" s="879"/>
      <c r="F58" s="879"/>
      <c r="G58" s="879"/>
      <c r="H58" s="879"/>
      <c r="I58" s="879"/>
      <c r="J58" s="879"/>
      <c r="K58" s="879"/>
      <c r="L58" s="880"/>
      <c r="M58" s="741"/>
      <c r="N58" s="741"/>
    </row>
    <row r="59" spans="1:14" outlineLevel="1" x14ac:dyDescent="0.2">
      <c r="A59" s="741"/>
      <c r="B59" s="975" t="s">
        <v>53</v>
      </c>
      <c r="C59" s="741"/>
      <c r="D59" s="914">
        <v>4.4999999999999998E-2</v>
      </c>
      <c r="E59" s="973" t="s">
        <v>1094</v>
      </c>
      <c r="F59" s="741"/>
      <c r="G59" s="741"/>
      <c r="H59" s="741">
        <f>$D$59*H30</f>
        <v>13950</v>
      </c>
      <c r="I59" s="741">
        <f>$D$59*I30</f>
        <v>6.75</v>
      </c>
      <c r="J59" s="741">
        <f>$D$59*J30</f>
        <v>8.7750000000000004</v>
      </c>
      <c r="K59" s="741">
        <f>$D$59*K30</f>
        <v>11.407499999999999</v>
      </c>
      <c r="L59" s="881">
        <f>$D$59*L30</f>
        <v>13.688999999999998</v>
      </c>
      <c r="M59" s="741"/>
      <c r="N59" s="741"/>
    </row>
    <row r="60" spans="1:14" outlineLevel="1" x14ac:dyDescent="0.2">
      <c r="A60" s="741"/>
      <c r="B60" s="975" t="s">
        <v>68</v>
      </c>
      <c r="C60" s="741"/>
      <c r="D60" s="889">
        <v>7.0000000000000001E-3</v>
      </c>
      <c r="E60" s="973" t="s">
        <v>1034</v>
      </c>
      <c r="F60" s="741"/>
      <c r="G60" s="741"/>
      <c r="H60" s="877">
        <f>$D$60*H33</f>
        <v>2170</v>
      </c>
      <c r="I60" s="877">
        <f>$D$60*I33</f>
        <v>460.53000000000003</v>
      </c>
      <c r="J60" s="877">
        <f>$D$60*J33</f>
        <v>470.03460000000001</v>
      </c>
      <c r="K60" s="877">
        <f>$D$60*K33</f>
        <v>479.81749200000002</v>
      </c>
      <c r="L60" s="882">
        <f>$D$60*L33</f>
        <v>489.73325183999998</v>
      </c>
      <c r="M60" s="741"/>
      <c r="N60" s="741"/>
    </row>
    <row r="61" spans="1:14" outlineLevel="1" x14ac:dyDescent="0.2">
      <c r="A61" s="741"/>
      <c r="B61" s="1131" t="s">
        <v>1095</v>
      </c>
      <c r="C61" s="741"/>
      <c r="D61" s="1127">
        <f>AVERAGE(Projections!G28:I28)</f>
        <v>0</v>
      </c>
      <c r="E61" s="973" t="s">
        <v>1096</v>
      </c>
      <c r="F61" s="741"/>
      <c r="G61" s="741"/>
      <c r="H61" s="741">
        <f>D61</f>
        <v>0</v>
      </c>
      <c r="I61" s="741">
        <f>H61</f>
        <v>0</v>
      </c>
      <c r="J61" s="741">
        <f t="shared" ref="J61:L61" si="14">I61</f>
        <v>0</v>
      </c>
      <c r="K61" s="741">
        <f t="shared" si="14"/>
        <v>0</v>
      </c>
      <c r="L61" s="881">
        <f t="shared" si="14"/>
        <v>0</v>
      </c>
      <c r="M61" s="741"/>
      <c r="N61" s="741"/>
    </row>
    <row r="62" spans="1:14" outlineLevel="1" x14ac:dyDescent="0.2">
      <c r="A62" s="741"/>
      <c r="B62" s="916"/>
      <c r="C62" s="741"/>
      <c r="D62" s="741"/>
      <c r="E62" s="741"/>
      <c r="F62" s="741"/>
      <c r="G62" s="741"/>
      <c r="H62" s="741"/>
      <c r="I62" s="741"/>
      <c r="J62" s="741"/>
      <c r="K62" s="741"/>
      <c r="L62" s="881"/>
      <c r="M62" s="741"/>
      <c r="N62" s="741"/>
    </row>
    <row r="63" spans="1:14" outlineLevel="1" x14ac:dyDescent="0.2">
      <c r="A63" s="741"/>
      <c r="B63" s="916" t="s">
        <v>1035</v>
      </c>
      <c r="C63" s="741"/>
      <c r="D63" s="741"/>
      <c r="E63" s="741"/>
      <c r="F63" s="741"/>
      <c r="G63" s="741"/>
      <c r="H63" s="904">
        <f>SUM(H59:H60)</f>
        <v>16120</v>
      </c>
      <c r="I63" s="904">
        <f>SUM(I59:I60)</f>
        <v>467.28000000000003</v>
      </c>
      <c r="J63" s="904">
        <f>SUM(J59:J60)</f>
        <v>478.80959999999999</v>
      </c>
      <c r="K63" s="904">
        <f>SUM(K59:K60)</f>
        <v>491.22499200000004</v>
      </c>
      <c r="L63" s="1015">
        <f>SUM(L59:L60)</f>
        <v>503.42225184</v>
      </c>
      <c r="M63" s="741"/>
      <c r="N63" s="741"/>
    </row>
    <row r="64" spans="1:14" outlineLevel="1" x14ac:dyDescent="0.2">
      <c r="A64" s="741"/>
      <c r="B64" s="1293" t="s">
        <v>1198</v>
      </c>
      <c r="C64" s="1000"/>
      <c r="D64" s="1127">
        <f>-AVERAGE(Projections!G37:I37)</f>
        <v>0</v>
      </c>
      <c r="E64" s="973" t="s">
        <v>1096</v>
      </c>
      <c r="F64" s="1000"/>
      <c r="G64" s="1000"/>
      <c r="H64" s="1000">
        <f>D64</f>
        <v>0</v>
      </c>
      <c r="I64" s="1000">
        <f>H64</f>
        <v>0</v>
      </c>
      <c r="J64" s="1000">
        <f t="shared" ref="J64:L64" si="15">I64</f>
        <v>0</v>
      </c>
      <c r="K64" s="1000">
        <f t="shared" si="15"/>
        <v>0</v>
      </c>
      <c r="L64" s="1258">
        <f t="shared" si="15"/>
        <v>0</v>
      </c>
      <c r="M64" s="741"/>
      <c r="N64" s="741"/>
    </row>
    <row r="65" spans="1:14" outlineLevel="1" x14ac:dyDescent="0.2">
      <c r="A65" s="741"/>
      <c r="B65" s="1294"/>
      <c r="C65" s="1295"/>
      <c r="D65" s="1295"/>
      <c r="E65" s="1295"/>
      <c r="F65" s="1295"/>
      <c r="G65" s="1295"/>
      <c r="H65" s="1295"/>
      <c r="I65" s="1295"/>
      <c r="J65" s="1295"/>
      <c r="K65" s="1295"/>
      <c r="L65" s="1296"/>
      <c r="M65" s="741"/>
      <c r="N65" s="741"/>
    </row>
    <row r="66" spans="1:14" x14ac:dyDescent="0.2">
      <c r="A66" s="741"/>
      <c r="B66" s="904"/>
      <c r="C66" s="741"/>
      <c r="D66" s="741"/>
      <c r="E66" s="741"/>
      <c r="F66" s="741"/>
      <c r="G66" s="741"/>
      <c r="H66" s="741"/>
      <c r="I66" s="741"/>
      <c r="J66" s="741"/>
      <c r="K66" s="741"/>
      <c r="L66" s="741"/>
      <c r="M66" s="741"/>
      <c r="N66" s="741"/>
    </row>
    <row r="67" spans="1:14" ht="19.5" customHeight="1" x14ac:dyDescent="0.2">
      <c r="A67" s="741"/>
      <c r="B67" s="862" t="s">
        <v>1178</v>
      </c>
      <c r="C67" s="863"/>
      <c r="D67" s="863"/>
      <c r="E67" s="864"/>
      <c r="F67" s="865"/>
      <c r="G67" s="865"/>
      <c r="H67" s="865"/>
      <c r="I67" s="865"/>
      <c r="J67" s="865"/>
      <c r="K67" s="865"/>
      <c r="L67" s="865"/>
      <c r="M67" s="741"/>
      <c r="N67" s="741"/>
    </row>
    <row r="68" spans="1:14" outlineLevel="1" x14ac:dyDescent="0.2">
      <c r="A68" s="741"/>
      <c r="B68" s="893" t="s">
        <v>1027</v>
      </c>
      <c r="C68" s="879"/>
      <c r="D68" s="879"/>
      <c r="E68" s="879"/>
      <c r="F68" s="879"/>
      <c r="G68" s="879"/>
      <c r="H68" s="972">
        <f>H2</f>
        <v>2022</v>
      </c>
      <c r="I68" s="972">
        <f>I2</f>
        <v>2023</v>
      </c>
      <c r="J68" s="972">
        <f>J2</f>
        <v>2024</v>
      </c>
      <c r="K68" s="972">
        <f>K2</f>
        <v>2025</v>
      </c>
      <c r="L68" s="1112">
        <f>L2</f>
        <v>2026</v>
      </c>
      <c r="M68" s="741"/>
      <c r="N68" s="741"/>
    </row>
    <row r="69" spans="1:14" outlineLevel="1" x14ac:dyDescent="0.2">
      <c r="A69" s="741"/>
      <c r="B69" s="1221" t="s">
        <v>1172</v>
      </c>
      <c r="C69" s="741"/>
      <c r="D69" s="913">
        <v>500000</v>
      </c>
      <c r="E69" s="1011"/>
      <c r="F69" s="741"/>
      <c r="G69" s="741"/>
      <c r="H69" s="487"/>
      <c r="I69" s="487"/>
      <c r="J69" s="487"/>
      <c r="K69" s="487"/>
      <c r="L69" s="1183"/>
      <c r="M69" s="741"/>
      <c r="N69" s="741"/>
    </row>
    <row r="70" spans="1:14" outlineLevel="1" x14ac:dyDescent="0.2">
      <c r="A70" s="741"/>
      <c r="B70" s="1221" t="s">
        <v>1173</v>
      </c>
      <c r="C70" s="741"/>
      <c r="D70" s="913">
        <v>65122</v>
      </c>
      <c r="E70" s="741"/>
      <c r="F70" s="741"/>
      <c r="G70" s="741"/>
      <c r="H70" s="487"/>
      <c r="I70" s="487"/>
      <c r="J70" s="487"/>
      <c r="K70" s="487"/>
      <c r="L70" s="1183"/>
      <c r="M70" s="741"/>
      <c r="N70" s="741"/>
    </row>
    <row r="71" spans="1:14" outlineLevel="1" x14ac:dyDescent="0.2">
      <c r="A71" s="741"/>
      <c r="B71" s="1221" t="s">
        <v>1174</v>
      </c>
      <c r="C71" s="741"/>
      <c r="D71" s="913">
        <v>20000</v>
      </c>
      <c r="E71" s="741"/>
      <c r="F71" s="741"/>
      <c r="G71" s="741"/>
      <c r="H71" s="487"/>
      <c r="I71" s="487"/>
      <c r="J71" s="487"/>
      <c r="K71" s="487"/>
      <c r="L71" s="1183"/>
      <c r="M71" s="741"/>
      <c r="N71" s="741"/>
    </row>
    <row r="72" spans="1:14" outlineLevel="1" x14ac:dyDescent="0.2">
      <c r="A72" s="741"/>
      <c r="B72" s="1133" t="s">
        <v>1097</v>
      </c>
      <c r="C72" s="741"/>
      <c r="D72" s="913">
        <v>30000</v>
      </c>
      <c r="E72" s="741"/>
      <c r="F72" s="741"/>
      <c r="G72" s="741"/>
      <c r="H72" s="487"/>
      <c r="I72" s="487"/>
      <c r="J72" s="487"/>
      <c r="K72" s="487"/>
      <c r="L72" s="1183"/>
      <c r="M72" s="741"/>
      <c r="N72" s="741"/>
    </row>
    <row r="73" spans="1:14" ht="4.9000000000000004" customHeight="1" outlineLevel="1" x14ac:dyDescent="0.2">
      <c r="A73" s="741"/>
      <c r="B73" s="866"/>
      <c r="C73" s="741"/>
      <c r="D73" s="741"/>
      <c r="E73" s="741"/>
      <c r="F73" s="741"/>
      <c r="G73" s="741"/>
      <c r="H73" s="487"/>
      <c r="I73" s="487"/>
      <c r="J73" s="487"/>
      <c r="K73" s="487"/>
      <c r="L73" s="1183"/>
      <c r="M73" s="741"/>
      <c r="N73" s="741"/>
    </row>
    <row r="74" spans="1:14" ht="10.15" customHeight="1" outlineLevel="1" x14ac:dyDescent="0.2">
      <c r="A74" s="741"/>
      <c r="B74" s="905" t="s">
        <v>1055</v>
      </c>
      <c r="C74" s="741"/>
      <c r="D74" s="741"/>
      <c r="E74" s="741"/>
      <c r="F74" s="741"/>
      <c r="G74" s="741"/>
      <c r="H74" s="487"/>
      <c r="I74" s="487"/>
      <c r="J74" s="487"/>
      <c r="K74" s="487"/>
      <c r="L74" s="1183"/>
      <c r="M74" s="741"/>
      <c r="N74" s="741"/>
    </row>
    <row r="75" spans="1:14" outlineLevel="1" x14ac:dyDescent="0.2">
      <c r="A75" s="741"/>
      <c r="B75" s="1280" t="s">
        <v>1188</v>
      </c>
      <c r="C75" s="741"/>
      <c r="D75" s="741"/>
      <c r="E75" s="741"/>
      <c r="F75" s="741"/>
      <c r="G75" s="741"/>
      <c r="H75" s="978">
        <v>0</v>
      </c>
      <c r="I75" s="978">
        <f>D69</f>
        <v>500000</v>
      </c>
      <c r="J75" s="978">
        <v>0</v>
      </c>
      <c r="K75" s="978">
        <v>0</v>
      </c>
      <c r="L75" s="1184">
        <v>0</v>
      </c>
      <c r="M75" s="741"/>
      <c r="N75" s="741"/>
    </row>
    <row r="76" spans="1:14" outlineLevel="1" x14ac:dyDescent="0.2">
      <c r="A76" s="741"/>
      <c r="B76" s="1280" t="s">
        <v>1176</v>
      </c>
      <c r="C76" s="741"/>
      <c r="D76" s="741"/>
      <c r="E76" s="741"/>
      <c r="F76" s="741"/>
      <c r="G76" s="741"/>
      <c r="H76" s="978">
        <v>0</v>
      </c>
      <c r="I76" s="978">
        <f>D70</f>
        <v>65122</v>
      </c>
      <c r="J76" s="978">
        <v>0</v>
      </c>
      <c r="K76" s="978">
        <v>0</v>
      </c>
      <c r="L76" s="1184">
        <v>0</v>
      </c>
      <c r="M76" s="741"/>
      <c r="N76" s="741"/>
    </row>
    <row r="77" spans="1:14" outlineLevel="1" x14ac:dyDescent="0.2">
      <c r="A77" s="741"/>
      <c r="B77" s="1280" t="s">
        <v>1187</v>
      </c>
      <c r="C77" s="741"/>
      <c r="D77" s="741"/>
      <c r="E77" s="741"/>
      <c r="F77" s="741"/>
      <c r="G77" s="741"/>
      <c r="H77" s="978">
        <v>0</v>
      </c>
      <c r="I77" s="978">
        <v>0</v>
      </c>
      <c r="J77" s="978">
        <f>D71</f>
        <v>20000</v>
      </c>
      <c r="K77" s="978">
        <v>0</v>
      </c>
      <c r="L77" s="1184">
        <v>0</v>
      </c>
      <c r="M77" s="741"/>
      <c r="N77" s="741"/>
    </row>
    <row r="78" spans="1:14" ht="9.6" customHeight="1" outlineLevel="1" x14ac:dyDescent="0.2">
      <c r="A78" s="741"/>
      <c r="B78" s="1252" t="s">
        <v>1175</v>
      </c>
      <c r="C78" s="877"/>
      <c r="D78" s="877"/>
      <c r="E78" s="1046"/>
      <c r="F78" s="877"/>
      <c r="G78" s="877"/>
      <c r="H78" s="1009">
        <v>0</v>
      </c>
      <c r="I78" s="1009">
        <f>D72</f>
        <v>30000</v>
      </c>
      <c r="J78" s="1009">
        <v>0</v>
      </c>
      <c r="K78" s="1009">
        <v>0</v>
      </c>
      <c r="L78" s="1185">
        <v>0</v>
      </c>
      <c r="M78" s="741"/>
      <c r="N78" s="741"/>
    </row>
    <row r="79" spans="1:14" ht="9.6" customHeight="1" outlineLevel="1" x14ac:dyDescent="0.2">
      <c r="A79" s="741"/>
      <c r="B79" s="905" t="s">
        <v>1054</v>
      </c>
      <c r="C79" s="741"/>
      <c r="D79" s="741"/>
      <c r="E79" s="741"/>
      <c r="F79" s="741"/>
      <c r="G79" s="741"/>
      <c r="H79" s="1010">
        <f>SUM(H75:H78)</f>
        <v>0</v>
      </c>
      <c r="I79" s="1010">
        <f t="shared" ref="I79:L79" si="16">SUM(I75:I78)</f>
        <v>595122</v>
      </c>
      <c r="J79" s="1010">
        <f t="shared" si="16"/>
        <v>20000</v>
      </c>
      <c r="K79" s="1010">
        <f t="shared" si="16"/>
        <v>0</v>
      </c>
      <c r="L79" s="1186">
        <f t="shared" si="16"/>
        <v>0</v>
      </c>
      <c r="M79" s="741"/>
      <c r="N79" s="741"/>
    </row>
    <row r="80" spans="1:14" ht="4.9000000000000004" customHeight="1" outlineLevel="1" x14ac:dyDescent="0.2">
      <c r="A80" s="741"/>
      <c r="B80" s="905"/>
      <c r="C80" s="741"/>
      <c r="D80" s="741"/>
      <c r="E80" s="741"/>
      <c r="F80" s="741"/>
      <c r="G80" s="741"/>
      <c r="H80" s="741"/>
      <c r="I80" s="741"/>
      <c r="J80" s="741"/>
      <c r="K80" s="741"/>
      <c r="L80" s="881"/>
      <c r="M80" s="741"/>
      <c r="N80" s="741"/>
    </row>
    <row r="81" spans="1:14" outlineLevel="1" x14ac:dyDescent="0.2">
      <c r="A81" s="741"/>
      <c r="B81" s="905" t="s">
        <v>1023</v>
      </c>
      <c r="C81" s="741"/>
      <c r="D81" s="741"/>
      <c r="E81" s="741"/>
      <c r="F81" s="741"/>
      <c r="G81" s="741"/>
      <c r="H81" s="741"/>
      <c r="I81" s="741"/>
      <c r="J81" s="741"/>
      <c r="K81" s="741"/>
      <c r="L81" s="881"/>
      <c r="M81" s="741"/>
      <c r="N81" s="741"/>
    </row>
    <row r="82" spans="1:14" outlineLevel="1" x14ac:dyDescent="0.2">
      <c r="A82" s="741"/>
      <c r="B82" s="1133" t="s">
        <v>1098</v>
      </c>
      <c r="C82" s="741"/>
      <c r="D82" s="741"/>
      <c r="E82" s="741"/>
      <c r="F82" s="741"/>
      <c r="G82" s="741"/>
      <c r="H82" s="897"/>
      <c r="I82" s="741"/>
      <c r="J82" s="741"/>
      <c r="K82" s="741"/>
      <c r="L82" s="881"/>
      <c r="M82" s="741"/>
      <c r="N82" s="741"/>
    </row>
    <row r="83" spans="1:14" outlineLevel="1" x14ac:dyDescent="0.2">
      <c r="A83" s="741"/>
      <c r="B83" s="866" t="s">
        <v>1045</v>
      </c>
      <c r="C83" s="741"/>
      <c r="D83" s="886">
        <v>40</v>
      </c>
      <c r="E83" s="907" t="s">
        <v>1009</v>
      </c>
      <c r="F83" s="741"/>
      <c r="G83" s="741"/>
      <c r="H83" s="741"/>
      <c r="I83" s="741"/>
      <c r="J83" s="741"/>
      <c r="K83" s="741"/>
      <c r="L83" s="881"/>
      <c r="M83" s="741"/>
      <c r="N83" s="741"/>
    </row>
    <row r="84" spans="1:14" outlineLevel="1" x14ac:dyDescent="0.2">
      <c r="A84" s="741"/>
      <c r="B84" s="866" t="s">
        <v>1028</v>
      </c>
      <c r="C84" s="741"/>
      <c r="D84" s="913">
        <f>I75/D83</f>
        <v>12500</v>
      </c>
      <c r="E84" s="973" t="s">
        <v>1032</v>
      </c>
      <c r="F84" s="741"/>
      <c r="G84" s="741"/>
      <c r="H84" s="978">
        <v>0</v>
      </c>
      <c r="I84" s="948">
        <f>D84</f>
        <v>12500</v>
      </c>
      <c r="J84" s="948">
        <f>I84</f>
        <v>12500</v>
      </c>
      <c r="K84" s="948">
        <f t="shared" ref="K84:L84" si="17">J84</f>
        <v>12500</v>
      </c>
      <c r="L84" s="1253">
        <f t="shared" si="17"/>
        <v>12500</v>
      </c>
      <c r="M84" s="741"/>
      <c r="N84" s="741"/>
    </row>
    <row r="85" spans="1:14" ht="4.9000000000000004" customHeight="1" outlineLevel="1" x14ac:dyDescent="0.2">
      <c r="A85" s="741"/>
      <c r="B85" s="905"/>
      <c r="C85" s="741"/>
      <c r="D85" s="741"/>
      <c r="E85" s="741"/>
      <c r="F85" s="741"/>
      <c r="G85" s="741"/>
      <c r="H85" s="741"/>
      <c r="I85" s="741"/>
      <c r="J85" s="741"/>
      <c r="K85" s="741"/>
      <c r="L85" s="881"/>
      <c r="M85" s="741"/>
      <c r="N85" s="741"/>
    </row>
    <row r="86" spans="1:14" outlineLevel="1" x14ac:dyDescent="0.2">
      <c r="A86" s="741"/>
      <c r="B86" s="1221" t="s">
        <v>1176</v>
      </c>
      <c r="C86" s="741"/>
      <c r="D86" s="741"/>
      <c r="E86" s="741"/>
      <c r="F86" s="741"/>
      <c r="G86" s="741"/>
      <c r="H86" s="741"/>
      <c r="I86" s="741"/>
      <c r="J86" s="741"/>
      <c r="K86" s="741"/>
      <c r="L86" s="881"/>
      <c r="M86" s="741"/>
      <c r="N86" s="741"/>
    </row>
    <row r="87" spans="1:14" outlineLevel="1" x14ac:dyDescent="0.2">
      <c r="A87" s="741"/>
      <c r="B87" s="866" t="s">
        <v>1046</v>
      </c>
      <c r="C87" s="741"/>
      <c r="D87" s="886">
        <v>6</v>
      </c>
      <c r="E87" s="907" t="s">
        <v>1009</v>
      </c>
      <c r="F87" s="741"/>
      <c r="G87" s="741"/>
      <c r="H87" s="741"/>
      <c r="I87" s="741"/>
      <c r="J87" s="741"/>
      <c r="K87" s="741"/>
      <c r="L87" s="881"/>
      <c r="M87" s="741"/>
      <c r="N87" s="741"/>
    </row>
    <row r="88" spans="1:14" outlineLevel="1" x14ac:dyDescent="0.2">
      <c r="A88" s="741"/>
      <c r="B88" s="866" t="s">
        <v>1028</v>
      </c>
      <c r="C88" s="741"/>
      <c r="D88" s="913">
        <f>I76/D87</f>
        <v>10853.666666666666</v>
      </c>
      <c r="E88" s="973" t="s">
        <v>1032</v>
      </c>
      <c r="F88" s="741"/>
      <c r="G88" s="741"/>
      <c r="H88" s="978">
        <v>0</v>
      </c>
      <c r="I88" s="948">
        <f>D88</f>
        <v>10853.666666666666</v>
      </c>
      <c r="J88" s="948">
        <f>I88</f>
        <v>10853.666666666666</v>
      </c>
      <c r="K88" s="741">
        <f>D88</f>
        <v>10853.666666666666</v>
      </c>
      <c r="L88" s="881">
        <f>K88</f>
        <v>10853.666666666666</v>
      </c>
      <c r="M88" s="741"/>
      <c r="N88" s="741"/>
    </row>
    <row r="89" spans="1:14" ht="4.9000000000000004" customHeight="1" outlineLevel="1" x14ac:dyDescent="0.2">
      <c r="A89" s="741"/>
      <c r="B89" s="866"/>
      <c r="C89" s="741"/>
      <c r="D89" s="741"/>
      <c r="E89" s="973"/>
      <c r="F89" s="741"/>
      <c r="G89" s="741"/>
      <c r="H89" s="978"/>
      <c r="I89" s="978"/>
      <c r="J89" s="978"/>
      <c r="K89" s="741"/>
      <c r="L89" s="881"/>
      <c r="M89" s="741"/>
      <c r="N89" s="741"/>
    </row>
    <row r="90" spans="1:14" outlineLevel="1" x14ac:dyDescent="0.2">
      <c r="A90" s="741"/>
      <c r="B90" s="1133" t="s">
        <v>1099</v>
      </c>
      <c r="C90" s="741"/>
      <c r="D90" s="741"/>
      <c r="E90" s="741"/>
      <c r="F90" s="741"/>
      <c r="G90" s="741"/>
      <c r="H90" s="741"/>
      <c r="I90" s="741"/>
      <c r="J90" s="741"/>
      <c r="K90" s="741"/>
      <c r="L90" s="881"/>
      <c r="M90" s="741"/>
      <c r="N90" s="741"/>
    </row>
    <row r="91" spans="1:14" outlineLevel="1" x14ac:dyDescent="0.2">
      <c r="A91" s="741"/>
      <c r="B91" s="866" t="s">
        <v>1046</v>
      </c>
      <c r="C91" s="741"/>
      <c r="D91" s="886">
        <v>6</v>
      </c>
      <c r="E91" s="907" t="s">
        <v>1009</v>
      </c>
      <c r="F91" s="741"/>
      <c r="G91" s="741"/>
      <c r="H91" s="741"/>
      <c r="I91" s="741"/>
      <c r="J91" s="741"/>
      <c r="K91" s="741"/>
      <c r="L91" s="881"/>
      <c r="M91" s="741"/>
      <c r="N91" s="741"/>
    </row>
    <row r="92" spans="1:14" outlineLevel="1" x14ac:dyDescent="0.2">
      <c r="A92" s="741"/>
      <c r="B92" s="866" t="s">
        <v>1028</v>
      </c>
      <c r="C92" s="741"/>
      <c r="D92" s="913">
        <f>J77/D91</f>
        <v>3333.3333333333335</v>
      </c>
      <c r="E92" s="973" t="s">
        <v>1032</v>
      </c>
      <c r="F92" s="741"/>
      <c r="G92" s="741"/>
      <c r="H92" s="978">
        <v>0</v>
      </c>
      <c r="I92" s="978">
        <v>0</v>
      </c>
      <c r="J92" s="948">
        <f>D92</f>
        <v>3333.3333333333335</v>
      </c>
      <c r="K92" s="741">
        <f>D92</f>
        <v>3333.3333333333335</v>
      </c>
      <c r="L92" s="881">
        <f>K92</f>
        <v>3333.3333333333335</v>
      </c>
      <c r="M92" s="741"/>
      <c r="N92" s="741"/>
    </row>
    <row r="93" spans="1:14" outlineLevel="1" x14ac:dyDescent="0.2">
      <c r="A93" s="741"/>
      <c r="B93" s="866"/>
      <c r="C93" s="741"/>
      <c r="D93" s="741"/>
      <c r="E93" s="973"/>
      <c r="F93" s="741"/>
      <c r="G93" s="741"/>
      <c r="H93" s="978"/>
      <c r="I93" s="978"/>
      <c r="J93" s="978"/>
      <c r="K93" s="741"/>
      <c r="L93" s="881"/>
      <c r="M93" s="741"/>
      <c r="N93" s="741"/>
    </row>
    <row r="94" spans="1:14" outlineLevel="1" x14ac:dyDescent="0.2">
      <c r="A94" s="741"/>
      <c r="B94" s="1221" t="s">
        <v>1097</v>
      </c>
      <c r="C94" s="741"/>
      <c r="D94" s="741"/>
      <c r="E94" s="741"/>
      <c r="F94" s="741"/>
      <c r="G94" s="741"/>
      <c r="H94" s="741"/>
      <c r="I94" s="741"/>
      <c r="J94" s="741"/>
      <c r="K94" s="741"/>
      <c r="L94" s="881"/>
      <c r="M94" s="741"/>
      <c r="N94" s="741"/>
    </row>
    <row r="95" spans="1:14" outlineLevel="1" x14ac:dyDescent="0.2">
      <c r="A95" s="741"/>
      <c r="B95" s="1221" t="s">
        <v>1177</v>
      </c>
      <c r="C95" s="741"/>
      <c r="D95" s="886">
        <v>4</v>
      </c>
      <c r="E95" s="907" t="s">
        <v>1009</v>
      </c>
      <c r="F95" s="741"/>
      <c r="G95" s="741"/>
      <c r="H95" s="741"/>
      <c r="I95" s="741"/>
      <c r="J95" s="741"/>
      <c r="K95" s="741"/>
      <c r="L95" s="881"/>
      <c r="M95" s="741"/>
      <c r="N95" s="741"/>
    </row>
    <row r="96" spans="1:14" outlineLevel="1" x14ac:dyDescent="0.2">
      <c r="A96" s="741"/>
      <c r="B96" s="866" t="s">
        <v>1028</v>
      </c>
      <c r="C96" s="741"/>
      <c r="D96" s="913">
        <f>I78/D95</f>
        <v>7500</v>
      </c>
      <c r="E96" s="973" t="s">
        <v>1032</v>
      </c>
      <c r="F96" s="741"/>
      <c r="G96" s="741"/>
      <c r="H96" s="978">
        <v>0</v>
      </c>
      <c r="I96" s="948">
        <f>D96</f>
        <v>7500</v>
      </c>
      <c r="J96" s="948">
        <f>I96</f>
        <v>7500</v>
      </c>
      <c r="K96" s="741">
        <f>D96</f>
        <v>7500</v>
      </c>
      <c r="L96" s="881">
        <f>K96</f>
        <v>7500</v>
      </c>
      <c r="M96" s="741"/>
      <c r="N96" s="741"/>
    </row>
    <row r="97" spans="1:32" ht="9.6" customHeight="1" outlineLevel="1" x14ac:dyDescent="0.2">
      <c r="A97" s="741"/>
      <c r="B97" s="866"/>
      <c r="C97" s="741"/>
      <c r="D97" s="741"/>
      <c r="E97" s="973"/>
      <c r="F97" s="741"/>
      <c r="G97" s="741"/>
      <c r="H97" s="978"/>
      <c r="I97" s="978"/>
      <c r="J97" s="978"/>
      <c r="K97" s="741"/>
      <c r="L97" s="881"/>
      <c r="M97" s="741"/>
      <c r="N97" s="741"/>
    </row>
    <row r="98" spans="1:32" outlineLevel="1" x14ac:dyDescent="0.2">
      <c r="A98" s="741"/>
      <c r="B98" s="977" t="s">
        <v>1047</v>
      </c>
      <c r="C98" s="877"/>
      <c r="D98" s="877"/>
      <c r="E98" s="877"/>
      <c r="F98" s="877"/>
      <c r="G98" s="877"/>
      <c r="H98" s="1009">
        <f>SUM(H84,H88)</f>
        <v>0</v>
      </c>
      <c r="I98" s="949">
        <f>SUM(I84,I88,I92,I96)</f>
        <v>30853.666666666664</v>
      </c>
      <c r="J98" s="949">
        <f t="shared" ref="J98:L98" si="18">SUM(J84,J88,J92,J96)</f>
        <v>34187</v>
      </c>
      <c r="K98" s="949">
        <f t="shared" si="18"/>
        <v>34187</v>
      </c>
      <c r="L98" s="1164">
        <f t="shared" si="18"/>
        <v>34187</v>
      </c>
      <c r="M98" s="741"/>
      <c r="N98" s="741"/>
    </row>
    <row r="99" spans="1:32" outlineLevel="1" x14ac:dyDescent="0.2">
      <c r="A99" s="741"/>
      <c r="B99" s="1177"/>
      <c r="C99" s="879"/>
      <c r="D99" s="879"/>
      <c r="E99" s="879"/>
      <c r="F99" s="879"/>
      <c r="G99" s="879"/>
      <c r="H99" s="879"/>
      <c r="I99" s="879"/>
      <c r="J99" s="879"/>
      <c r="K99" s="879"/>
      <c r="L99" s="880"/>
      <c r="M99" s="741"/>
      <c r="N99" s="741"/>
    </row>
    <row r="100" spans="1:32" outlineLevel="1" x14ac:dyDescent="0.2">
      <c r="A100" s="741"/>
      <c r="B100" s="866" t="s">
        <v>1024</v>
      </c>
      <c r="C100" s="741"/>
      <c r="D100" s="741"/>
      <c r="E100" s="741"/>
      <c r="F100" s="741"/>
      <c r="G100" s="741"/>
      <c r="H100" s="741">
        <f>Projections!J52</f>
        <v>28333.333333333332</v>
      </c>
      <c r="I100" s="741">
        <f>H104</f>
        <v>28333.333333333332</v>
      </c>
      <c r="J100" s="741">
        <f t="shared" ref="J100:L100" si="19">I104</f>
        <v>592601.66666666674</v>
      </c>
      <c r="K100" s="741">
        <f t="shared" si="19"/>
        <v>578414.66666666674</v>
      </c>
      <c r="L100" s="881">
        <f t="shared" si="19"/>
        <v>544227.66666666674</v>
      </c>
      <c r="M100" s="741"/>
      <c r="N100" s="741"/>
    </row>
    <row r="101" spans="1:32" outlineLevel="1" x14ac:dyDescent="0.2">
      <c r="A101" s="741"/>
      <c r="B101" s="866" t="s">
        <v>1025</v>
      </c>
      <c r="C101" s="741"/>
      <c r="D101" s="741"/>
      <c r="E101" s="741"/>
      <c r="F101" s="741"/>
      <c r="G101" s="741"/>
      <c r="H101" s="978">
        <f>H79</f>
        <v>0</v>
      </c>
      <c r="I101" s="948">
        <f t="shared" ref="I101:L101" si="20">I79</f>
        <v>595122</v>
      </c>
      <c r="J101" s="948">
        <f t="shared" si="20"/>
        <v>20000</v>
      </c>
      <c r="K101" s="978">
        <f t="shared" si="20"/>
        <v>0</v>
      </c>
      <c r="L101" s="1184">
        <f t="shared" si="20"/>
        <v>0</v>
      </c>
      <c r="M101" s="741"/>
      <c r="N101" s="741"/>
    </row>
    <row r="102" spans="1:32" outlineLevel="1" x14ac:dyDescent="0.2">
      <c r="A102" s="741"/>
      <c r="B102" s="866" t="s">
        <v>1048</v>
      </c>
      <c r="C102" s="741"/>
      <c r="D102" s="741"/>
      <c r="E102" s="741"/>
      <c r="F102" s="741"/>
      <c r="G102" s="741"/>
      <c r="H102" s="948">
        <v>0</v>
      </c>
      <c r="I102" s="948">
        <v>0</v>
      </c>
      <c r="J102" s="948">
        <v>0</v>
      </c>
      <c r="K102" s="948">
        <v>0</v>
      </c>
      <c r="L102" s="1253">
        <v>0</v>
      </c>
      <c r="M102" s="741"/>
      <c r="N102" s="741"/>
    </row>
    <row r="103" spans="1:32" outlineLevel="1" x14ac:dyDescent="0.2">
      <c r="A103" s="741"/>
      <c r="B103" s="906" t="s">
        <v>1049</v>
      </c>
      <c r="C103" s="877"/>
      <c r="D103" s="877"/>
      <c r="E103" s="877"/>
      <c r="F103" s="877"/>
      <c r="G103" s="877"/>
      <c r="H103" s="947">
        <f>H98</f>
        <v>0</v>
      </c>
      <c r="I103" s="947">
        <f>-I98</f>
        <v>-30853.666666666664</v>
      </c>
      <c r="J103" s="947">
        <f t="shared" ref="J103:L103" si="21">-J98</f>
        <v>-34187</v>
      </c>
      <c r="K103" s="1300">
        <f t="shared" si="21"/>
        <v>-34187</v>
      </c>
      <c r="L103" s="1301">
        <f t="shared" si="21"/>
        <v>-34187</v>
      </c>
      <c r="M103" s="741"/>
      <c r="N103" s="741"/>
    </row>
    <row r="104" spans="1:32" outlineLevel="1" x14ac:dyDescent="0.2">
      <c r="A104" s="741"/>
      <c r="B104" s="905" t="s">
        <v>1026</v>
      </c>
      <c r="C104" s="741"/>
      <c r="D104" s="741"/>
      <c r="E104" s="741"/>
      <c r="F104" s="741"/>
      <c r="G104" s="741"/>
      <c r="H104" s="904">
        <f>SUM(H100:H103)</f>
        <v>28333.333333333332</v>
      </c>
      <c r="I104" s="904">
        <f>SUM(I100:I103)</f>
        <v>592601.66666666674</v>
      </c>
      <c r="J104" s="904">
        <f t="shared" ref="J104:L104" si="22">SUM(J100:J103)</f>
        <v>578414.66666666674</v>
      </c>
      <c r="K104" s="904">
        <f t="shared" si="22"/>
        <v>544227.66666666674</v>
      </c>
      <c r="L104" s="1015">
        <f t="shared" si="22"/>
        <v>510040.66666666674</v>
      </c>
      <c r="M104" s="741"/>
      <c r="N104" s="741"/>
    </row>
    <row r="105" spans="1:32" outlineLevel="1" x14ac:dyDescent="0.2">
      <c r="A105" s="741"/>
      <c r="B105" s="903"/>
      <c r="C105" s="877"/>
      <c r="D105" s="877"/>
      <c r="E105" s="877"/>
      <c r="F105" s="877"/>
      <c r="G105" s="877"/>
      <c r="H105" s="877"/>
      <c r="I105" s="877"/>
      <c r="J105" s="877"/>
      <c r="K105" s="877"/>
      <c r="L105" s="882"/>
      <c r="M105" s="741"/>
      <c r="N105" s="741"/>
    </row>
    <row r="106" spans="1:32" x14ac:dyDescent="0.2">
      <c r="A106" s="741"/>
      <c r="B106" s="741"/>
      <c r="C106" s="741"/>
      <c r="D106" s="741"/>
      <c r="E106" s="741"/>
      <c r="F106" s="741"/>
      <c r="G106" s="741"/>
      <c r="H106" s="741"/>
      <c r="I106" s="741"/>
      <c r="J106" s="741"/>
      <c r="K106" s="741"/>
      <c r="L106" s="741"/>
      <c r="M106" s="741"/>
      <c r="N106" s="1000"/>
    </row>
    <row r="107" spans="1:32" ht="19.5" customHeight="1" x14ac:dyDescent="0.2">
      <c r="A107" s="741"/>
      <c r="B107" s="1098" t="s">
        <v>695</v>
      </c>
      <c r="C107" s="1095"/>
      <c r="D107" s="1095"/>
      <c r="E107" s="1096"/>
      <c r="F107" s="1097"/>
      <c r="G107" s="1097"/>
      <c r="H107" s="1097"/>
      <c r="I107" s="1097"/>
      <c r="J107" s="1097"/>
      <c r="K107" s="1097"/>
      <c r="L107" s="1146"/>
      <c r="M107" s="741"/>
      <c r="N107" s="1000"/>
    </row>
    <row r="108" spans="1:32" s="1000" customFormat="1" outlineLevel="1" x14ac:dyDescent="0.2">
      <c r="B108" s="1254" t="s">
        <v>1179</v>
      </c>
      <c r="C108" s="879"/>
      <c r="D108" s="879"/>
      <c r="E108" s="1255"/>
      <c r="F108" s="1255"/>
      <c r="G108" s="1255"/>
      <c r="H108" s="1256">
        <f>H2</f>
        <v>2022</v>
      </c>
      <c r="I108" s="1256">
        <f>I2</f>
        <v>2023</v>
      </c>
      <c r="J108" s="1256">
        <f>J2</f>
        <v>2024</v>
      </c>
      <c r="K108" s="1256">
        <f>K2</f>
        <v>2025</v>
      </c>
      <c r="L108" s="1257">
        <f>L2</f>
        <v>2026</v>
      </c>
      <c r="O108" s="1189"/>
      <c r="P108" s="1189"/>
      <c r="Q108" s="1189"/>
      <c r="R108" s="1189"/>
      <c r="S108" s="1189"/>
      <c r="T108" s="1189"/>
      <c r="U108" s="1189"/>
      <c r="V108" s="1189"/>
      <c r="W108" s="1189"/>
      <c r="X108" s="1189"/>
      <c r="Y108" s="1189"/>
      <c r="Z108" s="1189"/>
      <c r="AA108" s="1189"/>
      <c r="AB108" s="1189"/>
      <c r="AC108" s="1189"/>
      <c r="AD108" s="1189"/>
      <c r="AE108" s="1189"/>
      <c r="AF108" s="1189"/>
    </row>
    <row r="109" spans="1:32" s="1000" customFormat="1" outlineLevel="1" x14ac:dyDescent="0.2">
      <c r="B109" s="1220" t="s">
        <v>1114</v>
      </c>
      <c r="C109" s="741"/>
      <c r="D109" s="1109">
        <f>AVERAGE(Sumár!G66:I66)</f>
        <v>0</v>
      </c>
      <c r="H109" s="1000">
        <f>H33/365*$D$109</f>
        <v>0</v>
      </c>
      <c r="I109" s="1000">
        <f>I33/365*$D$109</f>
        <v>0</v>
      </c>
      <c r="J109" s="1000">
        <f>J33/365*$D$109</f>
        <v>0</v>
      </c>
      <c r="K109" s="1000">
        <f>K33/365*$D$109</f>
        <v>0</v>
      </c>
      <c r="L109" s="1258">
        <f>L33/365*$D$109</f>
        <v>0</v>
      </c>
      <c r="O109" s="1189"/>
      <c r="P109" s="1189"/>
      <c r="Q109" s="1189"/>
      <c r="R109" s="1189"/>
      <c r="S109" s="1189"/>
      <c r="T109" s="1189"/>
      <c r="U109" s="1189"/>
      <c r="V109" s="1189"/>
      <c r="W109" s="1189"/>
      <c r="X109" s="1189"/>
      <c r="Y109" s="1189"/>
      <c r="Z109" s="1189"/>
      <c r="AA109" s="1189"/>
      <c r="AB109" s="1189"/>
      <c r="AC109" s="1189"/>
      <c r="AD109" s="1189"/>
      <c r="AE109" s="1189"/>
      <c r="AF109" s="1189"/>
    </row>
    <row r="110" spans="1:32" s="1000" customFormat="1" outlineLevel="1" x14ac:dyDescent="0.2">
      <c r="B110" s="1220" t="s">
        <v>116</v>
      </c>
      <c r="C110" s="741"/>
      <c r="D110" s="929">
        <v>0</v>
      </c>
      <c r="H110" s="948">
        <f>D110</f>
        <v>0</v>
      </c>
      <c r="I110" s="948">
        <f t="shared" ref="I110:L110" si="23">E110</f>
        <v>0</v>
      </c>
      <c r="J110" s="948">
        <f t="shared" si="23"/>
        <v>0</v>
      </c>
      <c r="K110" s="948">
        <f t="shared" si="23"/>
        <v>0</v>
      </c>
      <c r="L110" s="1253">
        <f t="shared" si="23"/>
        <v>0</v>
      </c>
      <c r="O110" s="1189"/>
      <c r="P110" s="1189"/>
      <c r="Q110" s="1189"/>
      <c r="R110" s="1189"/>
      <c r="S110" s="1189"/>
      <c r="T110" s="1189"/>
      <c r="U110" s="1189"/>
      <c r="V110" s="1189"/>
      <c r="W110" s="1189"/>
      <c r="X110" s="1189"/>
      <c r="Y110" s="1189"/>
      <c r="Z110" s="1189"/>
      <c r="AA110" s="1189"/>
      <c r="AB110" s="1189"/>
      <c r="AC110" s="1189"/>
      <c r="AD110" s="1189"/>
      <c r="AE110" s="1189"/>
      <c r="AF110" s="1189"/>
    </row>
    <row r="111" spans="1:32" s="1000" customFormat="1" outlineLevel="1" x14ac:dyDescent="0.2">
      <c r="B111" s="1220" t="s">
        <v>1180</v>
      </c>
      <c r="C111" s="741"/>
      <c r="D111" s="889">
        <v>1.9E-2</v>
      </c>
      <c r="H111" s="1000">
        <f>$D$111*H33</f>
        <v>5890</v>
      </c>
      <c r="I111" s="1000">
        <f>$D$111*I33</f>
        <v>1250.01</v>
      </c>
      <c r="J111" s="1000">
        <f>$D$111*J33</f>
        <v>1275.8081999999999</v>
      </c>
      <c r="K111" s="1000">
        <f>$D$111*K33</f>
        <v>1302.361764</v>
      </c>
      <c r="L111" s="1258">
        <f>$D$111*L33</f>
        <v>1329.2759692799998</v>
      </c>
      <c r="O111" s="1189"/>
      <c r="P111" s="1189"/>
      <c r="Q111" s="1189"/>
      <c r="R111" s="1189"/>
      <c r="S111" s="1189"/>
      <c r="T111" s="1189"/>
      <c r="U111" s="1189"/>
      <c r="V111" s="1189"/>
      <c r="W111" s="1189"/>
      <c r="X111" s="1189"/>
      <c r="Y111" s="1189"/>
      <c r="Z111" s="1189"/>
      <c r="AA111" s="1189"/>
      <c r="AB111" s="1189"/>
      <c r="AC111" s="1189"/>
      <c r="AD111" s="1189"/>
      <c r="AE111" s="1189"/>
      <c r="AF111" s="1189"/>
    </row>
    <row r="112" spans="1:32" s="1000" customFormat="1" outlineLevel="1" x14ac:dyDescent="0.2">
      <c r="B112" s="937"/>
      <c r="C112" s="741"/>
      <c r="D112" s="934"/>
      <c r="L112" s="1258"/>
      <c r="O112" s="1189"/>
      <c r="P112" s="1189"/>
      <c r="Q112" s="1189"/>
      <c r="R112" s="1189"/>
      <c r="S112" s="1189"/>
      <c r="T112" s="1189"/>
      <c r="U112" s="1189"/>
      <c r="V112" s="1189"/>
      <c r="W112" s="1189"/>
      <c r="X112" s="1189"/>
      <c r="Y112" s="1189"/>
      <c r="Z112" s="1189"/>
      <c r="AA112" s="1189"/>
      <c r="AB112" s="1189"/>
      <c r="AC112" s="1189"/>
      <c r="AD112" s="1189"/>
      <c r="AE112" s="1189"/>
      <c r="AF112" s="1189"/>
    </row>
    <row r="113" spans="2:32" s="1000" customFormat="1" outlineLevel="1" x14ac:dyDescent="0.2">
      <c r="B113" s="937"/>
      <c r="C113" s="741"/>
      <c r="D113" s="934"/>
      <c r="L113" s="1258"/>
      <c r="O113" s="1189"/>
      <c r="P113" s="1189"/>
      <c r="Q113" s="1189"/>
      <c r="R113" s="1189"/>
      <c r="S113" s="1189"/>
      <c r="T113" s="1189"/>
      <c r="U113" s="1189"/>
      <c r="V113" s="1189"/>
      <c r="W113" s="1189"/>
      <c r="X113" s="1189"/>
      <c r="Y113" s="1189"/>
      <c r="Z113" s="1189"/>
      <c r="AA113" s="1189"/>
      <c r="AB113" s="1189"/>
      <c r="AC113" s="1189"/>
      <c r="AD113" s="1189"/>
      <c r="AE113" s="1189"/>
      <c r="AF113" s="1189"/>
    </row>
    <row r="114" spans="2:32" s="1000" customFormat="1" outlineLevel="1" x14ac:dyDescent="0.2">
      <c r="B114" s="1220" t="s">
        <v>655</v>
      </c>
      <c r="C114" s="741"/>
      <c r="D114" s="1109">
        <f>AVERAGE(Sumár!G67:I67)</f>
        <v>0</v>
      </c>
      <c r="H114" s="1000">
        <f>H43/365*$D$114</f>
        <v>0</v>
      </c>
      <c r="I114" s="1000">
        <f>I43/365*$D$114</f>
        <v>0</v>
      </c>
      <c r="J114" s="1000">
        <f>J43/365*$D$114</f>
        <v>0</v>
      </c>
      <c r="K114" s="1000">
        <f>K43/365*$D$114</f>
        <v>0</v>
      </c>
      <c r="L114" s="1258">
        <f>L43/365*$D$114</f>
        <v>0</v>
      </c>
      <c r="O114" s="1189"/>
      <c r="P114" s="1189"/>
      <c r="Q114" s="1189"/>
      <c r="R114" s="1189"/>
      <c r="S114" s="1189"/>
      <c r="T114" s="1189"/>
      <c r="U114" s="1189"/>
      <c r="V114" s="1189"/>
      <c r="W114" s="1189"/>
      <c r="X114" s="1189"/>
      <c r="Y114" s="1189"/>
      <c r="Z114" s="1189"/>
      <c r="AA114" s="1189"/>
      <c r="AB114" s="1189"/>
      <c r="AC114" s="1189"/>
      <c r="AD114" s="1189"/>
      <c r="AE114" s="1189"/>
      <c r="AF114" s="1189"/>
    </row>
    <row r="115" spans="2:32" s="1000" customFormat="1" outlineLevel="1" x14ac:dyDescent="0.2">
      <c r="B115" s="1220" t="s">
        <v>1181</v>
      </c>
      <c r="C115" s="741"/>
      <c r="D115" s="889">
        <v>0</v>
      </c>
      <c r="H115" s="948">
        <f>$D$115*H33</f>
        <v>0</v>
      </c>
      <c r="I115" s="948">
        <f>$D$115*I33</f>
        <v>0</v>
      </c>
      <c r="J115" s="948">
        <f>$D$115*J33</f>
        <v>0</v>
      </c>
      <c r="K115" s="948">
        <f>$D$115*K33</f>
        <v>0</v>
      </c>
      <c r="L115" s="1253">
        <f>$D$115*L33</f>
        <v>0</v>
      </c>
      <c r="O115" s="1189"/>
      <c r="P115" s="1189"/>
      <c r="Q115" s="1189"/>
      <c r="R115" s="1189"/>
      <c r="S115" s="1189"/>
      <c r="T115" s="1189"/>
      <c r="U115" s="1189"/>
      <c r="V115" s="1189"/>
      <c r="W115" s="1189"/>
      <c r="X115" s="1189"/>
      <c r="Y115" s="1189"/>
      <c r="Z115" s="1189"/>
      <c r="AA115" s="1189"/>
      <c r="AB115" s="1189"/>
      <c r="AC115" s="1189"/>
      <c r="AD115" s="1189"/>
      <c r="AE115" s="1189"/>
      <c r="AF115" s="1189"/>
    </row>
    <row r="116" spans="2:32" s="1000" customFormat="1" outlineLevel="1" x14ac:dyDescent="0.2">
      <c r="B116" s="1220" t="s">
        <v>1184</v>
      </c>
      <c r="C116" s="741"/>
      <c r="D116" s="889">
        <v>0</v>
      </c>
      <c r="H116" s="948">
        <f>$D$116*H33</f>
        <v>0</v>
      </c>
      <c r="I116" s="948">
        <f>$D$116*I33</f>
        <v>0</v>
      </c>
      <c r="J116" s="948">
        <f>$D$116*J33</f>
        <v>0</v>
      </c>
      <c r="K116" s="948">
        <f>$D$116*K33</f>
        <v>0</v>
      </c>
      <c r="L116" s="1253">
        <f>$D$116*L33</f>
        <v>0</v>
      </c>
      <c r="O116" s="1189"/>
      <c r="P116" s="1189"/>
      <c r="Q116" s="1189"/>
      <c r="R116" s="1189"/>
      <c r="S116" s="1189"/>
      <c r="T116" s="1189"/>
      <c r="U116" s="1189"/>
      <c r="V116" s="1189"/>
      <c r="W116" s="1189"/>
      <c r="X116" s="1189"/>
      <c r="Y116" s="1189"/>
      <c r="Z116" s="1189"/>
      <c r="AA116" s="1189"/>
      <c r="AB116" s="1189"/>
      <c r="AC116" s="1189"/>
      <c r="AD116" s="1189"/>
      <c r="AE116" s="1189"/>
      <c r="AF116" s="1189"/>
    </row>
    <row r="117" spans="2:32" s="1000" customFormat="1" outlineLevel="1" x14ac:dyDescent="0.2">
      <c r="B117" s="1220" t="s">
        <v>1115</v>
      </c>
      <c r="C117" s="741"/>
      <c r="D117" s="889">
        <v>6.5000000000000002E-2</v>
      </c>
      <c r="H117" s="1000">
        <f>$D$117*H33</f>
        <v>20150</v>
      </c>
      <c r="I117" s="1000">
        <f>$D$117*I33</f>
        <v>4276.3500000000004</v>
      </c>
      <c r="J117" s="1000">
        <f>$D$117*J33</f>
        <v>4364.607</v>
      </c>
      <c r="K117" s="1000">
        <f>$D$117*K33</f>
        <v>4455.4481400000004</v>
      </c>
      <c r="L117" s="1258">
        <f>$D$117*L33</f>
        <v>4547.5230527999993</v>
      </c>
      <c r="O117" s="1189"/>
      <c r="P117" s="1189"/>
      <c r="Q117" s="1189"/>
      <c r="R117" s="1189"/>
      <c r="S117" s="1189"/>
      <c r="T117" s="1189"/>
      <c r="U117" s="1189"/>
      <c r="V117" s="1189"/>
      <c r="W117" s="1189"/>
      <c r="X117" s="1189"/>
      <c r="Y117" s="1189"/>
      <c r="Z117" s="1189"/>
      <c r="AA117" s="1189"/>
      <c r="AB117" s="1189"/>
      <c r="AC117" s="1189"/>
      <c r="AD117" s="1189"/>
      <c r="AE117" s="1189"/>
      <c r="AF117" s="1189"/>
    </row>
    <row r="118" spans="2:32" s="1000" customFormat="1" outlineLevel="1" x14ac:dyDescent="0.2">
      <c r="B118" s="1220"/>
      <c r="C118" s="741"/>
      <c r="D118" s="934"/>
      <c r="L118" s="1258"/>
      <c r="O118" s="1189"/>
      <c r="P118" s="1189"/>
      <c r="Q118" s="1189"/>
      <c r="R118" s="1189"/>
      <c r="S118" s="1189"/>
      <c r="T118" s="1189"/>
      <c r="U118" s="1189"/>
      <c r="V118" s="1189"/>
      <c r="W118" s="1189"/>
      <c r="X118" s="1189"/>
      <c r="Y118" s="1189"/>
      <c r="Z118" s="1189"/>
      <c r="AA118" s="1189"/>
      <c r="AB118" s="1189"/>
      <c r="AC118" s="1189"/>
      <c r="AD118" s="1189"/>
      <c r="AE118" s="1189"/>
      <c r="AF118" s="1189"/>
    </row>
    <row r="119" spans="2:32" s="1000" customFormat="1" outlineLevel="1" x14ac:dyDescent="0.2">
      <c r="B119" s="937"/>
      <c r="C119" s="741"/>
      <c r="D119" s="934"/>
      <c r="L119" s="1258"/>
      <c r="O119" s="1189"/>
      <c r="P119" s="1189"/>
      <c r="Q119" s="1189"/>
      <c r="R119" s="1189"/>
      <c r="S119" s="1189"/>
      <c r="T119" s="1189"/>
      <c r="U119" s="1189"/>
      <c r="V119" s="1189"/>
      <c r="W119" s="1189"/>
      <c r="X119" s="1189"/>
      <c r="Y119" s="1189"/>
      <c r="Z119" s="1189"/>
      <c r="AA119" s="1189"/>
      <c r="AB119" s="1189"/>
      <c r="AC119" s="1189"/>
      <c r="AD119" s="1189"/>
      <c r="AE119" s="1189"/>
      <c r="AF119" s="1189"/>
    </row>
    <row r="120" spans="2:32" s="1000" customFormat="1" outlineLevel="1" x14ac:dyDescent="0.2">
      <c r="B120" s="944" t="s">
        <v>1116</v>
      </c>
      <c r="C120" s="741"/>
      <c r="D120" s="934"/>
      <c r="H120" s="1259">
        <f>SUM(H109:H111)-SUM(H114:H117)</f>
        <v>-14260</v>
      </c>
      <c r="I120" s="1259">
        <f>SUM(I109:I111)-SUM(I114:I117)</f>
        <v>-3026.34</v>
      </c>
      <c r="J120" s="1259">
        <f>SUM(J109:J111)-SUM(J114:J117)</f>
        <v>-3088.7988</v>
      </c>
      <c r="K120" s="1259">
        <f t="shared" ref="K120:L120" si="24">SUM(K109:K111)-SUM(K114:K117)</f>
        <v>-3153.0863760000002</v>
      </c>
      <c r="L120" s="1260">
        <f t="shared" si="24"/>
        <v>-3218.2470835199993</v>
      </c>
      <c r="O120" s="1189"/>
      <c r="P120" s="1189"/>
      <c r="Q120" s="1189"/>
      <c r="R120" s="1189"/>
      <c r="S120" s="1189"/>
      <c r="T120" s="1189"/>
      <c r="U120" s="1189"/>
      <c r="V120" s="1189"/>
      <c r="W120" s="1189"/>
      <c r="X120" s="1189"/>
      <c r="Y120" s="1189"/>
      <c r="Z120" s="1189"/>
      <c r="AA120" s="1189"/>
      <c r="AB120" s="1189"/>
      <c r="AC120" s="1189"/>
      <c r="AD120" s="1189"/>
      <c r="AE120" s="1189"/>
      <c r="AF120" s="1189"/>
    </row>
    <row r="121" spans="2:32" s="1000" customFormat="1" outlineLevel="1" x14ac:dyDescent="0.2">
      <c r="B121" s="937"/>
      <c r="C121" s="741"/>
      <c r="D121" s="934"/>
      <c r="L121" s="1258"/>
      <c r="O121" s="1189"/>
      <c r="P121" s="1189"/>
      <c r="Q121" s="1189"/>
      <c r="R121" s="1189"/>
      <c r="S121" s="1189"/>
      <c r="T121" s="1189"/>
      <c r="U121" s="1189"/>
      <c r="V121" s="1189"/>
      <c r="W121" s="1189"/>
      <c r="X121" s="1189"/>
      <c r="Y121" s="1189"/>
      <c r="Z121" s="1189"/>
      <c r="AA121" s="1189"/>
      <c r="AB121" s="1189"/>
      <c r="AC121" s="1189"/>
      <c r="AD121" s="1189"/>
      <c r="AE121" s="1189"/>
      <c r="AF121" s="1189"/>
    </row>
    <row r="122" spans="2:32" s="1000" customFormat="1" outlineLevel="1" x14ac:dyDescent="0.2">
      <c r="B122" s="944" t="s">
        <v>1117</v>
      </c>
      <c r="C122" s="741"/>
      <c r="D122" s="934"/>
      <c r="H122" s="1259">
        <f>0-H120</f>
        <v>14260</v>
      </c>
      <c r="I122" s="1259">
        <f>H120-I120</f>
        <v>-11233.66</v>
      </c>
      <c r="J122" s="1259">
        <f>I120-J120</f>
        <v>62.458799999999883</v>
      </c>
      <c r="K122" s="1259">
        <f>J120-K120</f>
        <v>64.287576000000172</v>
      </c>
      <c r="L122" s="1260">
        <f>K120-L120</f>
        <v>65.16070751999905</v>
      </c>
      <c r="O122" s="1189"/>
      <c r="P122" s="1189"/>
      <c r="Q122" s="1189"/>
      <c r="R122" s="1189"/>
      <c r="S122" s="1189"/>
      <c r="T122" s="1189"/>
      <c r="U122" s="1189"/>
      <c r="V122" s="1189"/>
      <c r="W122" s="1189"/>
      <c r="X122" s="1189"/>
      <c r="Y122" s="1189"/>
      <c r="Z122" s="1189"/>
      <c r="AA122" s="1189"/>
      <c r="AB122" s="1189"/>
      <c r="AC122" s="1189"/>
      <c r="AD122" s="1189"/>
      <c r="AE122" s="1189"/>
      <c r="AF122" s="1189"/>
    </row>
    <row r="123" spans="2:32" s="1000" customFormat="1" ht="12" outlineLevel="1" thickBot="1" x14ac:dyDescent="0.25">
      <c r="B123" s="1261"/>
      <c r="C123" s="1262"/>
      <c r="D123" s="1262"/>
      <c r="E123" s="1262"/>
      <c r="F123" s="1262"/>
      <c r="G123" s="1262"/>
      <c r="H123" s="1262"/>
      <c r="I123" s="1262"/>
      <c r="J123" s="1262"/>
      <c r="K123" s="1262"/>
      <c r="L123" s="1263"/>
      <c r="O123" s="1189"/>
      <c r="P123" s="1189"/>
      <c r="Q123" s="1189"/>
      <c r="R123" s="1189"/>
      <c r="S123" s="1189"/>
      <c r="T123" s="1189"/>
      <c r="U123" s="1189"/>
      <c r="V123" s="1189"/>
      <c r="W123" s="1189"/>
      <c r="X123" s="1189"/>
      <c r="Y123" s="1189"/>
      <c r="Z123" s="1189"/>
      <c r="AA123" s="1189"/>
      <c r="AB123" s="1189"/>
      <c r="AC123" s="1189"/>
      <c r="AD123" s="1189"/>
      <c r="AE123" s="1189"/>
      <c r="AF123" s="1189"/>
    </row>
    <row r="124" spans="2:32" s="1000" customFormat="1" x14ac:dyDescent="0.2">
      <c r="O124" s="1189"/>
      <c r="P124" s="1189"/>
      <c r="Q124" s="1189"/>
      <c r="R124" s="1189"/>
      <c r="S124" s="1189"/>
      <c r="T124" s="1189"/>
      <c r="U124" s="1189"/>
      <c r="V124" s="1189"/>
      <c r="W124" s="1189"/>
      <c r="X124" s="1189"/>
      <c r="Y124" s="1189"/>
      <c r="Z124" s="1189"/>
      <c r="AA124" s="1189"/>
      <c r="AB124" s="1189"/>
      <c r="AC124" s="1189"/>
      <c r="AD124" s="1189"/>
      <c r="AE124" s="1189"/>
      <c r="AF124" s="1189"/>
    </row>
    <row r="125" spans="2:32" s="1000" customFormat="1" x14ac:dyDescent="0.2">
      <c r="O125" s="1189"/>
      <c r="P125" s="1189"/>
      <c r="Q125" s="1189"/>
      <c r="R125" s="1189"/>
      <c r="S125" s="1189"/>
      <c r="T125" s="1189"/>
      <c r="U125" s="1189"/>
      <c r="V125" s="1189"/>
      <c r="W125" s="1189"/>
      <c r="X125" s="1189"/>
      <c r="Y125" s="1189"/>
      <c r="Z125" s="1189"/>
      <c r="AA125" s="1189"/>
      <c r="AB125" s="1189"/>
      <c r="AC125" s="1189"/>
      <c r="AD125" s="1189"/>
      <c r="AE125" s="1189"/>
      <c r="AF125" s="1189"/>
    </row>
    <row r="126" spans="2:32" s="1000" customFormat="1" x14ac:dyDescent="0.2">
      <c r="O126" s="1189"/>
      <c r="P126" s="1189"/>
      <c r="Q126" s="1189"/>
      <c r="R126" s="1189"/>
      <c r="S126" s="1189"/>
      <c r="T126" s="1189"/>
      <c r="U126" s="1189"/>
      <c r="V126" s="1189"/>
      <c r="W126" s="1189"/>
      <c r="X126" s="1189"/>
      <c r="Y126" s="1189"/>
      <c r="Z126" s="1189"/>
      <c r="AA126" s="1189"/>
      <c r="AB126" s="1189"/>
      <c r="AC126" s="1189"/>
      <c r="AD126" s="1189"/>
      <c r="AE126" s="1189"/>
      <c r="AF126" s="1189"/>
    </row>
  </sheetData>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16E80-3121-406A-9BF2-2BFDC5E1C516}">
  <sheetPr>
    <tabColor rgb="FF0000FF"/>
  </sheetPr>
  <dimension ref="A1:U107"/>
  <sheetViews>
    <sheetView showGridLines="0" workbookViewId="0"/>
  </sheetViews>
  <sheetFormatPr defaultColWidth="0" defaultRowHeight="11.25" zeroHeight="1" outlineLevelRow="1" x14ac:dyDescent="0.2"/>
  <cols>
    <col min="1" max="1" width="1.7109375" style="741" customWidth="1"/>
    <col min="2" max="2" width="35.7109375" style="741" hidden="1" customWidth="1"/>
    <col min="3" max="4" width="8.85546875" style="741" customWidth="1"/>
    <col min="5" max="7" width="5.7109375" style="741" customWidth="1"/>
    <col min="8" max="8" width="8.5703125" style="741" customWidth="1"/>
    <col min="9" max="9" width="9.5703125" style="741" customWidth="1"/>
    <col min="10" max="17" width="8.85546875" style="741" customWidth="1"/>
    <col min="18" max="20" width="8.85546875" style="741" hidden="1" customWidth="1"/>
    <col min="21" max="21" width="4.7109375" style="741" hidden="1" customWidth="1"/>
    <col min="22" max="22" width="0" style="741" hidden="1" customWidth="1"/>
    <col min="23" max="16384" width="0" style="741" hidden="1"/>
  </cols>
  <sheetData>
    <row r="1" spans="1:21" x14ac:dyDescent="0.2">
      <c r="A1" s="190"/>
      <c r="B1" s="190"/>
      <c r="C1" s="190"/>
      <c r="D1" s="190"/>
      <c r="E1" s="190"/>
      <c r="F1" s="190"/>
      <c r="G1" s="190"/>
      <c r="H1" s="190"/>
      <c r="I1" s="190"/>
      <c r="J1" s="190"/>
      <c r="K1" s="190"/>
      <c r="L1" s="190"/>
      <c r="M1" s="190"/>
      <c r="N1" s="190"/>
      <c r="O1" s="190"/>
      <c r="P1" s="190"/>
      <c r="Q1" s="190"/>
      <c r="R1" s="190"/>
      <c r="S1" s="190"/>
      <c r="T1" s="190"/>
      <c r="U1" s="190"/>
    </row>
    <row r="2" spans="1:21" ht="12" x14ac:dyDescent="0.2">
      <c r="A2" s="190"/>
      <c r="B2" s="374" t="str">
        <f>CONCATENATE("Predpoklady a výpočty: ",Title!C17)</f>
        <v xml:space="preserve">Predpoklady a výpočty: </v>
      </c>
      <c r="C2" s="374" t="s">
        <v>1583</v>
      </c>
      <c r="D2" s="545"/>
      <c r="E2" s="190"/>
      <c r="F2" s="190"/>
      <c r="G2" s="190"/>
      <c r="H2" s="190"/>
      <c r="I2" s="694">
        <f>Assumptions!H2</f>
        <v>2025</v>
      </c>
      <c r="J2" s="694">
        <f>I2+1</f>
        <v>2026</v>
      </c>
      <c r="K2" s="694">
        <f t="shared" ref="K2:M2" si="0">J2+1</f>
        <v>2027</v>
      </c>
      <c r="L2" s="694">
        <f t="shared" si="0"/>
        <v>2028</v>
      </c>
      <c r="M2" s="694">
        <f t="shared" si="0"/>
        <v>2029</v>
      </c>
      <c r="N2" s="694"/>
      <c r="O2" s="694"/>
      <c r="P2" s="694"/>
      <c r="Q2" s="694"/>
      <c r="R2" s="694"/>
      <c r="S2" s="694"/>
      <c r="T2" s="694"/>
      <c r="U2" s="694"/>
    </row>
    <row r="3" spans="1:21" x14ac:dyDescent="0.2"/>
    <row r="4" spans="1:21" x14ac:dyDescent="0.2"/>
    <row r="5" spans="1:21" x14ac:dyDescent="0.2">
      <c r="B5" s="1208" t="s">
        <v>1064</v>
      </c>
      <c r="C5" s="1208" t="s">
        <v>1461</v>
      </c>
      <c r="D5" s="1087" t="str">
        <f>Projections!K4</f>
        <v>Realistický</v>
      </c>
    </row>
    <row r="6" spans="1:21" ht="19.5" customHeight="1" x14ac:dyDescent="0.2">
      <c r="B6" s="1098" t="s">
        <v>1574</v>
      </c>
      <c r="C6" s="1485" t="s">
        <v>1462</v>
      </c>
      <c r="D6" s="1145"/>
      <c r="E6" s="1145"/>
      <c r="F6" s="1097"/>
      <c r="G6" s="1097"/>
      <c r="H6" s="1097"/>
      <c r="I6" s="1097"/>
      <c r="J6" s="1097"/>
      <c r="K6" s="1097"/>
      <c r="L6" s="1097"/>
      <c r="M6" s="1146"/>
    </row>
    <row r="7" spans="1:21" x14ac:dyDescent="0.2">
      <c r="B7" s="1584" t="s">
        <v>41</v>
      </c>
      <c r="C7" s="1599" t="s">
        <v>41</v>
      </c>
      <c r="D7" s="1136"/>
      <c r="E7" s="1136"/>
      <c r="F7" s="1136"/>
      <c r="G7" s="1137"/>
      <c r="H7" s="1137"/>
      <c r="I7" s="1137" t="str">
        <f t="shared" ref="I7:M7" si="1">"FY"&amp;RIGHT(I$2,2)</f>
        <v>FY25</v>
      </c>
      <c r="J7" s="1137" t="str">
        <f t="shared" si="1"/>
        <v>FY26</v>
      </c>
      <c r="K7" s="1137" t="str">
        <f t="shared" si="1"/>
        <v>FY27</v>
      </c>
      <c r="L7" s="1137" t="str">
        <f t="shared" si="1"/>
        <v>FY28</v>
      </c>
      <c r="M7" s="1637" t="str">
        <f t="shared" si="1"/>
        <v>FY29</v>
      </c>
    </row>
    <row r="8" spans="1:21" x14ac:dyDescent="0.2">
      <c r="B8" s="1615" t="s">
        <v>1296</v>
      </c>
      <c r="C8" s="1565" t="s">
        <v>797</v>
      </c>
      <c r="I8" s="741">
        <f>SUM(I9:I13)</f>
        <v>1290172.5</v>
      </c>
      <c r="J8" s="741">
        <f t="shared" ref="J8:M8" si="2">SUM(J9:J13)</f>
        <v>2231849.4412499997</v>
      </c>
      <c r="K8" s="741">
        <f t="shared" si="2"/>
        <v>2997150.6146546239</v>
      </c>
      <c r="L8" s="741">
        <f t="shared" si="2"/>
        <v>3715267.9019258721</v>
      </c>
      <c r="M8" s="1636">
        <f t="shared" si="2"/>
        <v>4605446.0912273098</v>
      </c>
    </row>
    <row r="9" spans="1:21" x14ac:dyDescent="0.2">
      <c r="B9" s="1616" t="s">
        <v>1487</v>
      </c>
      <c r="C9" s="1600" t="s">
        <v>1580</v>
      </c>
      <c r="I9" s="1492">
        <f>Assumptions!H59</f>
        <v>641250</v>
      </c>
      <c r="J9" s="1492">
        <f>Assumptions!I59</f>
        <v>861134.62499999977</v>
      </c>
      <c r="K9" s="1492">
        <f>Assumptions!J59</f>
        <v>1156417.6879124998</v>
      </c>
      <c r="L9" s="1492">
        <f>Assumptions!K59</f>
        <v>1433495.3659363345</v>
      </c>
      <c r="M9" s="1567">
        <f>Assumptions!L59</f>
        <v>1776960.8556146796</v>
      </c>
      <c r="N9" s="915">
        <f>J9/$J$15</f>
        <v>0.38583903066404923</v>
      </c>
    </row>
    <row r="10" spans="1:21" x14ac:dyDescent="0.2">
      <c r="B10" s="1616" t="s">
        <v>1488</v>
      </c>
      <c r="C10" s="1600" t="s">
        <v>1581</v>
      </c>
      <c r="I10" s="1492">
        <f>Assumptions!H60</f>
        <v>242250</v>
      </c>
      <c r="J10" s="1492">
        <f>Assumptions!I60</f>
        <v>325317.52499999997</v>
      </c>
      <c r="K10" s="1492">
        <f>Assumptions!J60</f>
        <v>436868.90432249987</v>
      </c>
      <c r="L10" s="1492">
        <f>Assumptions!K60</f>
        <v>541542.69379817077</v>
      </c>
      <c r="M10" s="1567">
        <f>Assumptions!L60</f>
        <v>671296.32323221257</v>
      </c>
      <c r="N10" s="915">
        <f t="shared" ref="N10:N13" si="3">J10/$J$15</f>
        <v>0.14576141158419639</v>
      </c>
    </row>
    <row r="11" spans="1:21" x14ac:dyDescent="0.2">
      <c r="B11" s="1616" t="s">
        <v>1489</v>
      </c>
      <c r="C11" s="1600" t="s">
        <v>1582</v>
      </c>
      <c r="I11" s="1492">
        <f>Assumptions!H61</f>
        <v>363375</v>
      </c>
      <c r="J11" s="1492">
        <f>Assumptions!I61</f>
        <v>487976.28749999998</v>
      </c>
      <c r="K11" s="1492">
        <f>Assumptions!J61</f>
        <v>655303.35648374981</v>
      </c>
      <c r="L11" s="1492">
        <f>Assumptions!K61</f>
        <v>812314.04069725634</v>
      </c>
      <c r="M11" s="1567">
        <f>Assumptions!L61</f>
        <v>1006944.4848483187</v>
      </c>
      <c r="N11" s="915">
        <f t="shared" si="3"/>
        <v>0.2186421173762946</v>
      </c>
    </row>
    <row r="12" spans="1:21" x14ac:dyDescent="0.2">
      <c r="B12" s="1616" t="s">
        <v>1490</v>
      </c>
      <c r="C12" s="1600" t="s">
        <v>1337</v>
      </c>
      <c r="I12" s="1492">
        <f>Assumptions!H62</f>
        <v>18000</v>
      </c>
      <c r="J12" s="1492">
        <f>Assumptions!I62</f>
        <v>513659.25</v>
      </c>
      <c r="K12" s="1492">
        <f>Assumptions!J62</f>
        <v>689793.00682499981</v>
      </c>
      <c r="L12" s="1492">
        <f>Assumptions!K62</f>
        <v>855067.41126026982</v>
      </c>
      <c r="M12" s="1567">
        <f>Assumptions!L62</f>
        <v>1059941.5629982303</v>
      </c>
      <c r="N12" s="915">
        <f>J12/$J$15</f>
        <v>0.23014959723820486</v>
      </c>
    </row>
    <row r="13" spans="1:21" x14ac:dyDescent="0.2">
      <c r="B13" s="1616" t="s">
        <v>1572</v>
      </c>
      <c r="C13" s="1600"/>
      <c r="I13" s="1492">
        <f>Assumptions!H63</f>
        <v>25297.5</v>
      </c>
      <c r="J13" s="1492">
        <f>Assumptions!I63</f>
        <v>43761.753749999989</v>
      </c>
      <c r="K13" s="1492">
        <f>Assumptions!J63</f>
        <v>58767.659110874985</v>
      </c>
      <c r="L13" s="1492">
        <f>Assumptions!K63</f>
        <v>72848.390233840633</v>
      </c>
      <c r="M13" s="1567">
        <f>Assumptions!L63</f>
        <v>90302.864533868822</v>
      </c>
      <c r="N13" s="915">
        <f t="shared" si="3"/>
        <v>1.9607843137254898E-2</v>
      </c>
    </row>
    <row r="14" spans="1:21" x14ac:dyDescent="0.2">
      <c r="B14" s="1585" t="s">
        <v>1297</v>
      </c>
      <c r="C14" s="1566" t="s">
        <v>1463</v>
      </c>
      <c r="D14" s="877"/>
      <c r="E14" s="877"/>
      <c r="F14" s="877"/>
      <c r="G14" s="877"/>
      <c r="H14" s="877"/>
      <c r="I14" s="1634">
        <f>Assumptions!H66</f>
        <v>0</v>
      </c>
      <c r="J14" s="1634">
        <f>Assumptions!I66</f>
        <v>0</v>
      </c>
      <c r="K14" s="1634">
        <f>Assumptions!J66</f>
        <v>0</v>
      </c>
      <c r="L14" s="1634">
        <f>Assumptions!K66</f>
        <v>0</v>
      </c>
      <c r="M14" s="1635">
        <f>Assumptions!L66</f>
        <v>0</v>
      </c>
    </row>
    <row r="15" spans="1:21" x14ac:dyDescent="0.2">
      <c r="B15" s="1586" t="s">
        <v>1019</v>
      </c>
      <c r="C15" s="1569" t="s">
        <v>1344</v>
      </c>
      <c r="I15" s="904">
        <f>I8+I14</f>
        <v>1290172.5</v>
      </c>
      <c r="J15" s="904">
        <f t="shared" ref="J15:M15" si="4">J8+J14</f>
        <v>2231849.4412499997</v>
      </c>
      <c r="K15" s="904">
        <f t="shared" si="4"/>
        <v>2997150.6146546239</v>
      </c>
      <c r="L15" s="904">
        <f t="shared" si="4"/>
        <v>3715267.9019258721</v>
      </c>
      <c r="M15" s="1576">
        <f t="shared" si="4"/>
        <v>4605446.0912273098</v>
      </c>
      <c r="N15" s="1638">
        <f>(M15/I15)^(1/(29-25))-1</f>
        <v>0.3745355626298652</v>
      </c>
    </row>
    <row r="16" spans="1:21" x14ac:dyDescent="0.2">
      <c r="B16" s="1587" t="s">
        <v>926</v>
      </c>
      <c r="C16" s="1285" t="s">
        <v>1464</v>
      </c>
      <c r="I16" s="1128">
        <v>0</v>
      </c>
      <c r="J16" s="919">
        <f>J15/I15-1</f>
        <v>0.7298845241624663</v>
      </c>
      <c r="K16" s="919">
        <f t="shared" ref="K16:M16" si="5">K15/J15-1</f>
        <v>0.34289999999999976</v>
      </c>
      <c r="L16" s="919">
        <f t="shared" si="5"/>
        <v>0.23960000000000004</v>
      </c>
      <c r="M16" s="1577">
        <f t="shared" si="5"/>
        <v>0.23959999999999959</v>
      </c>
    </row>
    <row r="17" spans="2:14" ht="4.9000000000000004" customHeight="1" x14ac:dyDescent="0.2">
      <c r="B17" s="1587"/>
      <c r="C17" s="1285"/>
      <c r="I17" s="1128"/>
      <c r="J17" s="919"/>
      <c r="K17" s="919"/>
      <c r="L17" s="919"/>
      <c r="M17" s="1577"/>
    </row>
    <row r="18" spans="2:14" x14ac:dyDescent="0.2">
      <c r="B18" s="1617" t="s">
        <v>1491</v>
      </c>
      <c r="C18" s="1570" t="s">
        <v>1350</v>
      </c>
      <c r="I18" s="1571">
        <f>Assumptions!H73</f>
        <v>451560.375</v>
      </c>
      <c r="J18" s="1571">
        <f>Assumptions!I73</f>
        <v>781147.30443749984</v>
      </c>
      <c r="K18" s="1571">
        <f>Assumptions!J73</f>
        <v>1049002.7151291184</v>
      </c>
      <c r="L18" s="1571">
        <f>Assumptions!K73</f>
        <v>1300343.7656740551</v>
      </c>
      <c r="M18" s="1578">
        <f>Assumptions!L73</f>
        <v>1611906.1319295582</v>
      </c>
      <c r="N18" s="915">
        <f>J18/$J$15</f>
        <v>0.35</v>
      </c>
    </row>
    <row r="19" spans="2:14" x14ac:dyDescent="0.2">
      <c r="B19" s="1617" t="s">
        <v>1492</v>
      </c>
      <c r="C19" s="1570" t="s">
        <v>1351</v>
      </c>
      <c r="I19" s="1571">
        <f>Assumptions!H74</f>
        <v>25803.45</v>
      </c>
      <c r="J19" s="1571">
        <f>Assumptions!I74</f>
        <v>44636.988824999993</v>
      </c>
      <c r="K19" s="1571">
        <f>Assumptions!J74</f>
        <v>59943.012293092477</v>
      </c>
      <c r="L19" s="1571">
        <f>Assumptions!K74</f>
        <v>74305.358038517443</v>
      </c>
      <c r="M19" s="1578">
        <f>Assumptions!L74</f>
        <v>92108.921824546196</v>
      </c>
      <c r="N19" s="915">
        <f>J19/$J$15</f>
        <v>0.02</v>
      </c>
    </row>
    <row r="20" spans="2:14" x14ac:dyDescent="0.2">
      <c r="B20" s="1617" t="s">
        <v>607</v>
      </c>
      <c r="C20" s="1570" t="s">
        <v>607</v>
      </c>
      <c r="I20" s="1571">
        <f>Assumptions!H75</f>
        <v>0</v>
      </c>
      <c r="J20" s="1571">
        <f>Assumptions!I75</f>
        <v>0</v>
      </c>
      <c r="K20" s="1571">
        <f>Assumptions!J75</f>
        <v>0</v>
      </c>
      <c r="L20" s="1571">
        <f>Assumptions!K75</f>
        <v>0</v>
      </c>
      <c r="M20" s="1578">
        <f>Assumptions!L75</f>
        <v>0</v>
      </c>
    </row>
    <row r="21" spans="2:14" ht="9.6" customHeight="1" x14ac:dyDescent="0.2">
      <c r="B21" s="1618" t="s">
        <v>1298</v>
      </c>
      <c r="C21" s="1574" t="s">
        <v>1349</v>
      </c>
      <c r="D21" s="1333"/>
      <c r="E21" s="1333"/>
      <c r="F21" s="1333"/>
      <c r="G21" s="1333"/>
      <c r="H21" s="1333"/>
      <c r="I21" s="1572">
        <f>SUM(I18:I20)</f>
        <v>477363.82500000001</v>
      </c>
      <c r="J21" s="1572">
        <f t="shared" ref="J21:M21" si="6">SUM(J18:J20)</f>
        <v>825784.29326249985</v>
      </c>
      <c r="K21" s="1572">
        <f t="shared" si="6"/>
        <v>1108945.7274222109</v>
      </c>
      <c r="L21" s="1572">
        <f t="shared" si="6"/>
        <v>1374649.1237125725</v>
      </c>
      <c r="M21" s="1579">
        <f t="shared" si="6"/>
        <v>1704015.0537541045</v>
      </c>
      <c r="N21" s="915">
        <f>J21/$J$15</f>
        <v>0.37</v>
      </c>
    </row>
    <row r="22" spans="2:14" x14ac:dyDescent="0.2">
      <c r="B22" s="1588" t="s">
        <v>845</v>
      </c>
      <c r="C22" s="1601" t="s">
        <v>1481</v>
      </c>
      <c r="I22" s="904">
        <f>I15-I21</f>
        <v>812808.67500000005</v>
      </c>
      <c r="J22" s="904">
        <f t="shared" ref="J22:M22" si="7">J15-J21</f>
        <v>1406065.1479874998</v>
      </c>
      <c r="K22" s="904">
        <f t="shared" si="7"/>
        <v>1888204.887232413</v>
      </c>
      <c r="L22" s="904">
        <f t="shared" si="7"/>
        <v>2340618.7782132998</v>
      </c>
      <c r="M22" s="1580">
        <f t="shared" si="7"/>
        <v>2901431.0374732055</v>
      </c>
    </row>
    <row r="23" spans="2:14" x14ac:dyDescent="0.2">
      <c r="B23" s="1587" t="s">
        <v>1103</v>
      </c>
      <c r="C23" s="1285" t="s">
        <v>1465</v>
      </c>
      <c r="I23" s="1142">
        <f>I22/I15</f>
        <v>0.63</v>
      </c>
      <c r="J23" s="1142">
        <f>J22/J15</f>
        <v>0.63</v>
      </c>
      <c r="K23" s="1142">
        <f>K22/K15</f>
        <v>0.63</v>
      </c>
      <c r="L23" s="1142">
        <f>L22/L15</f>
        <v>0.63000000000000012</v>
      </c>
      <c r="M23" s="1289">
        <f>M22/M15</f>
        <v>0.63000000000000012</v>
      </c>
    </row>
    <row r="24" spans="2:14" x14ac:dyDescent="0.2">
      <c r="B24" s="1589" t="s">
        <v>1299</v>
      </c>
      <c r="C24" s="1602" t="s">
        <v>1466</v>
      </c>
      <c r="I24" s="1142"/>
      <c r="J24" s="1142"/>
      <c r="K24" s="1142"/>
      <c r="L24" s="1142"/>
      <c r="M24" s="1289"/>
    </row>
    <row r="25" spans="2:14" x14ac:dyDescent="0.2">
      <c r="B25" s="1590" t="s">
        <v>1300</v>
      </c>
      <c r="C25" s="1603" t="s">
        <v>1354</v>
      </c>
      <c r="I25" s="1573">
        <f>Assumptions!H116</f>
        <v>179267.99999999997</v>
      </c>
      <c r="J25" s="1573">
        <f>Assumptions!I116</f>
        <v>264033.35999999993</v>
      </c>
      <c r="K25" s="1573">
        <f>Assumptions!J116</f>
        <v>355042.79999999993</v>
      </c>
      <c r="L25" s="1573">
        <f>Assumptions!K116</f>
        <v>394805.66399999999</v>
      </c>
      <c r="M25" s="1581">
        <f>Assumptions!L116</f>
        <v>441176.92799999996</v>
      </c>
      <c r="N25" s="915">
        <f>J25/$J$15</f>
        <v>0.11830249618097978</v>
      </c>
    </row>
    <row r="26" spans="2:14" ht="10.9" customHeight="1" x14ac:dyDescent="0.2">
      <c r="B26" s="1590" t="s">
        <v>1170</v>
      </c>
      <c r="C26" s="1604" t="s">
        <v>1170</v>
      </c>
      <c r="I26" s="1575">
        <f>Assumptions!H121</f>
        <v>193525.875</v>
      </c>
      <c r="J26" s="1575">
        <f>Assumptions!I121</f>
        <v>334777.41618749994</v>
      </c>
      <c r="K26" s="1575">
        <f>Assumptions!J121</f>
        <v>449572.5921981936</v>
      </c>
      <c r="L26" s="1575">
        <f>Assumptions!K121</f>
        <v>557290.18528888084</v>
      </c>
      <c r="M26" s="1582">
        <f>Assumptions!L121</f>
        <v>690816.91368409642</v>
      </c>
      <c r="N26" s="915">
        <f>J26/$J$15</f>
        <v>0.15</v>
      </c>
    </row>
    <row r="27" spans="2:14" x14ac:dyDescent="0.2">
      <c r="B27" s="1590" t="s">
        <v>1493</v>
      </c>
      <c r="C27" s="1604" t="s">
        <v>1467</v>
      </c>
      <c r="I27" s="1575">
        <f>Assumptions!H125</f>
        <v>19352.587499999998</v>
      </c>
      <c r="J27" s="1575">
        <f>Assumptions!I125</f>
        <v>33477.741618749991</v>
      </c>
      <c r="K27" s="1575">
        <f>Assumptions!J125</f>
        <v>44957.25921981936</v>
      </c>
      <c r="L27" s="1575">
        <f>Assumptions!K125</f>
        <v>55729.018528888082</v>
      </c>
      <c r="M27" s="1582">
        <f>Assumptions!L125</f>
        <v>69081.691368409651</v>
      </c>
      <c r="N27" s="915"/>
    </row>
    <row r="28" spans="2:14" x14ac:dyDescent="0.2">
      <c r="B28" s="1590" t="s">
        <v>1494</v>
      </c>
      <c r="C28" s="1604" t="s">
        <v>1468</v>
      </c>
      <c r="I28" s="1575">
        <f>SUM(Assumptions!H126,Assumptions!H130)</f>
        <v>38254.3125</v>
      </c>
      <c r="J28" s="1575">
        <f>SUM(Assumptions!I126,Assumptions!I130)</f>
        <v>61994.236031249995</v>
      </c>
      <c r="K28" s="1575">
        <f>SUM(Assumptions!J126,Assumptions!J130)</f>
        <v>81331.299366365594</v>
      </c>
      <c r="L28" s="1575">
        <f>SUM(Assumptions!K126,Assumptions!K130)</f>
        <v>99495.515170146813</v>
      </c>
      <c r="M28" s="1582">
        <f>SUM(Assumptions!L126,Assumptions!L130)</f>
        <v>121968.22588420875</v>
      </c>
    </row>
    <row r="29" spans="2:14" x14ac:dyDescent="0.2">
      <c r="B29" s="1590" t="s">
        <v>1495</v>
      </c>
      <c r="C29" s="1604" t="s">
        <v>1469</v>
      </c>
      <c r="I29" s="1575">
        <f>SUM(Assumptions!H123,Assumptions!H124,Assumptions!H127,Assumptions!H132)</f>
        <v>25800</v>
      </c>
      <c r="J29" s="1575">
        <f>SUM(Assumptions!I123,Assumptions!I124,Assumptions!I127,Assumptions!I132)</f>
        <v>26651.399999999994</v>
      </c>
      <c r="K29" s="1575">
        <f>SUM(Assumptions!J123,Assumptions!J124,Assumptions!J127,Assumptions!J132)</f>
        <v>27530.896199999996</v>
      </c>
      <c r="L29" s="1575">
        <f>SUM(Assumptions!K123,Assumptions!K124,Assumptions!K127,Assumptions!K132)</f>
        <v>28439.415774599991</v>
      </c>
      <c r="M29" s="1582">
        <f>SUM(Assumptions!L123,Assumptions!L124,Assumptions!L127,Assumptions!L132)</f>
        <v>29377.916495161789</v>
      </c>
    </row>
    <row r="30" spans="2:14" x14ac:dyDescent="0.2">
      <c r="B30" s="1590" t="s">
        <v>1496</v>
      </c>
      <c r="C30" s="1604" t="s">
        <v>1393</v>
      </c>
      <c r="I30" s="1575">
        <f>SUM(Assumptions!H122,Assumptions!H128,Assumptions!H129,Assumptions!H133,Assumptions!H134)</f>
        <v>36423.104999999996</v>
      </c>
      <c r="J30" s="1575">
        <f>SUM(Assumptions!I122,Assumptions!I128,Assumptions!I129,Assumptions!I133,Assumptions!I134)</f>
        <v>53808.889942499998</v>
      </c>
      <c r="K30" s="1575">
        <f>SUM(Assumptions!J122,Assumptions!J128,Assumptions!J129,Assumptions!J133,Assumptions!J134)</f>
        <v>68034.285863783225</v>
      </c>
      <c r="L30" s="1575">
        <f>SUM(Assumptions!K122,Assumptions!K128,Assumptions!K129,Assumptions!K133,Assumptions!K134)</f>
        <v>81425.221003065701</v>
      </c>
      <c r="M30" s="1582">
        <f>SUM(Assumptions!L122,Assumptions!L128,Assumptions!L129,Assumptions!L133,Assumptions!L134)</f>
        <v>97928.591569848766</v>
      </c>
    </row>
    <row r="31" spans="2:14" x14ac:dyDescent="0.2">
      <c r="B31" s="1590" t="s">
        <v>1497</v>
      </c>
      <c r="C31" s="1604" t="s">
        <v>1470</v>
      </c>
      <c r="I31" s="1575">
        <f>Assumptions!H131</f>
        <v>25000</v>
      </c>
      <c r="J31" s="1575">
        <f>Assumptions!I131</f>
        <v>25824.999999999996</v>
      </c>
      <c r="K31" s="1575">
        <f>Assumptions!J131</f>
        <v>26677.224999999995</v>
      </c>
      <c r="L31" s="1575">
        <f>Assumptions!K131</f>
        <v>27557.573424999991</v>
      </c>
      <c r="M31" s="1582">
        <f>Assumptions!L131</f>
        <v>28466.973348024989</v>
      </c>
    </row>
    <row r="32" spans="2:14" x14ac:dyDescent="0.2">
      <c r="B32" s="1590" t="s">
        <v>1498</v>
      </c>
      <c r="C32" s="1603" t="s">
        <v>1471</v>
      </c>
      <c r="I32" s="1573">
        <f>SUM(I26:I31)</f>
        <v>338355.88</v>
      </c>
      <c r="J32" s="1573">
        <f t="shared" ref="J32:M32" si="8">SUM(J26:J31)</f>
        <v>536534.68377999985</v>
      </c>
      <c r="K32" s="1573">
        <f t="shared" si="8"/>
        <v>698103.55784816178</v>
      </c>
      <c r="L32" s="1573">
        <f t="shared" si="8"/>
        <v>849936.92919058143</v>
      </c>
      <c r="M32" s="1581">
        <f t="shared" si="8"/>
        <v>1037640.3123497504</v>
      </c>
    </row>
    <row r="33" spans="2:14" x14ac:dyDescent="0.2">
      <c r="B33" s="1591"/>
      <c r="C33" s="1605"/>
      <c r="D33" s="1333"/>
      <c r="E33" s="1333"/>
      <c r="F33" s="1333"/>
      <c r="G33" s="1333"/>
      <c r="H33" s="1333"/>
      <c r="I33" s="1572">
        <f>SUM(I25,I32)</f>
        <v>517623.88</v>
      </c>
      <c r="J33" s="1572">
        <f t="shared" ref="J33:M33" si="9">SUM(J25,J32)</f>
        <v>800568.04377999972</v>
      </c>
      <c r="K33" s="1572">
        <f t="shared" si="9"/>
        <v>1053146.3578481618</v>
      </c>
      <c r="L33" s="1572">
        <f t="shared" si="9"/>
        <v>1244742.5931905815</v>
      </c>
      <c r="M33" s="1579">
        <f t="shared" si="9"/>
        <v>1478817.2403497505</v>
      </c>
      <c r="N33" s="915">
        <f>J33/J15</f>
        <v>0.35870163505815283</v>
      </c>
    </row>
    <row r="34" spans="2:14" x14ac:dyDescent="0.2">
      <c r="B34" s="1586" t="s">
        <v>1499</v>
      </c>
      <c r="C34" s="1606" t="s">
        <v>1</v>
      </c>
      <c r="I34" s="904">
        <f>I22-I33</f>
        <v>295184.79500000004</v>
      </c>
      <c r="J34" s="904">
        <f t="shared" ref="J34:M34" si="10">J22-J33</f>
        <v>605497.10420750012</v>
      </c>
      <c r="K34" s="904">
        <f t="shared" si="10"/>
        <v>835058.52938425122</v>
      </c>
      <c r="L34" s="904">
        <f t="shared" si="10"/>
        <v>1095876.1850227183</v>
      </c>
      <c r="M34" s="1576">
        <f t="shared" si="10"/>
        <v>1422613.797123455</v>
      </c>
    </row>
    <row r="35" spans="2:14" x14ac:dyDescent="0.2">
      <c r="B35" s="1587" t="s">
        <v>1301</v>
      </c>
      <c r="C35" s="1285" t="s">
        <v>1465</v>
      </c>
      <c r="I35" s="1142">
        <f>I34/I15</f>
        <v>0.22879482782341123</v>
      </c>
      <c r="J35" s="1142">
        <f>J34/J15</f>
        <v>0.27129836494184717</v>
      </c>
      <c r="K35" s="1142">
        <f>K34/K15</f>
        <v>0.27861747264258824</v>
      </c>
      <c r="L35" s="1142">
        <f>L34/L15</f>
        <v>0.29496558901032477</v>
      </c>
      <c r="M35" s="1289">
        <f>M34/M15</f>
        <v>0.30889815425987133</v>
      </c>
    </row>
    <row r="36" spans="2:14" x14ac:dyDescent="0.2">
      <c r="B36" s="1592" t="s">
        <v>1087</v>
      </c>
      <c r="C36" s="1607" t="s">
        <v>1472</v>
      </c>
      <c r="D36" s="877"/>
      <c r="E36" s="877"/>
      <c r="F36" s="877"/>
      <c r="G36" s="877"/>
      <c r="H36" s="877"/>
      <c r="I36" s="1583">
        <f>-SUM(Assumptions!H177:L178)</f>
        <v>45833.333333333343</v>
      </c>
      <c r="J36" s="1583">
        <f>-SUM(Assumptions!I177:M178)</f>
        <v>39166.666666666672</v>
      </c>
      <c r="K36" s="1583">
        <f>-SUM(Assumptions!J177:N178)</f>
        <v>30000.000000000004</v>
      </c>
      <c r="L36" s="1583">
        <f>-SUM(Assumptions!K177:O178)</f>
        <v>20833.333333333336</v>
      </c>
      <c r="M36" s="1595">
        <f>-SUM(Assumptions!L177:P178)</f>
        <v>9166.6666666666679</v>
      </c>
    </row>
    <row r="37" spans="2:14" x14ac:dyDescent="0.2">
      <c r="B37" s="1586" t="s">
        <v>1107</v>
      </c>
      <c r="C37" s="1606" t="s">
        <v>32</v>
      </c>
      <c r="I37" s="904">
        <f>I34-I36</f>
        <v>249351.4616666667</v>
      </c>
      <c r="J37" s="904">
        <f t="shared" ref="J37:M37" si="11">J34-J36</f>
        <v>566330.43754083349</v>
      </c>
      <c r="K37" s="904">
        <f t="shared" si="11"/>
        <v>805058.52938425122</v>
      </c>
      <c r="L37" s="904">
        <f t="shared" si="11"/>
        <v>1075042.851689385</v>
      </c>
      <c r="M37" s="1576">
        <f t="shared" si="11"/>
        <v>1413447.1304567882</v>
      </c>
    </row>
    <row r="38" spans="2:14" x14ac:dyDescent="0.2">
      <c r="B38" s="1593" t="s">
        <v>1301</v>
      </c>
      <c r="C38" s="1285" t="s">
        <v>1465</v>
      </c>
      <c r="I38" s="1142">
        <f>I37/I15</f>
        <v>0.19326986249254785</v>
      </c>
      <c r="J38" s="1142">
        <f>J37/J15</f>
        <v>0.25374939145700026</v>
      </c>
      <c r="K38" s="1142">
        <f>K37/K15</f>
        <v>0.26860796566175305</v>
      </c>
      <c r="L38" s="1142">
        <f>L37/L15</f>
        <v>0.28935809746912688</v>
      </c>
      <c r="M38" s="1289">
        <f>M37/M15</f>
        <v>0.30690775713327639</v>
      </c>
    </row>
    <row r="39" spans="2:14" x14ac:dyDescent="0.2">
      <c r="B39" s="1592" t="s">
        <v>1302</v>
      </c>
      <c r="C39" s="1607" t="s">
        <v>1473</v>
      </c>
      <c r="D39" s="877"/>
      <c r="E39" s="877"/>
      <c r="F39" s="877"/>
      <c r="G39" s="877"/>
      <c r="H39" s="877"/>
      <c r="I39" s="1583">
        <v>0</v>
      </c>
      <c r="J39" s="1583">
        <v>0</v>
      </c>
      <c r="K39" s="1583">
        <v>0</v>
      </c>
      <c r="L39" s="1583">
        <v>0</v>
      </c>
      <c r="M39" s="1595">
        <v>0</v>
      </c>
    </row>
    <row r="40" spans="2:14" x14ac:dyDescent="0.2">
      <c r="B40" s="1586" t="s">
        <v>1107</v>
      </c>
      <c r="C40" s="1601" t="s">
        <v>1475</v>
      </c>
      <c r="I40" s="904">
        <f>I37-I39</f>
        <v>249351.4616666667</v>
      </c>
      <c r="J40" s="904">
        <f t="shared" ref="J40:M40" si="12">J37-J39</f>
        <v>566330.43754083349</v>
      </c>
      <c r="K40" s="904">
        <f t="shared" si="12"/>
        <v>805058.52938425122</v>
      </c>
      <c r="L40" s="904">
        <f t="shared" si="12"/>
        <v>1075042.851689385</v>
      </c>
      <c r="M40" s="1576">
        <f t="shared" si="12"/>
        <v>1413447.1304567882</v>
      </c>
    </row>
    <row r="41" spans="2:14" x14ac:dyDescent="0.2">
      <c r="B41" s="1592" t="s">
        <v>1017</v>
      </c>
      <c r="C41" s="1607" t="s">
        <v>1474</v>
      </c>
      <c r="D41" s="877"/>
      <c r="E41" s="877"/>
      <c r="F41" s="877"/>
      <c r="G41" s="877"/>
      <c r="H41" s="877"/>
      <c r="I41" s="877">
        <f>IF(I40&gt;0,I40*Assumptions!$F$20,0)</f>
        <v>87273.01158333334</v>
      </c>
      <c r="J41" s="877">
        <f>IF(J40&gt;0,J40*Assumptions!$F$20,0)</f>
        <v>198215.65313929171</v>
      </c>
      <c r="K41" s="877">
        <f>IF(K40&gt;0,K40*Assumptions!$F$20,0)</f>
        <v>281770.48528448789</v>
      </c>
      <c r="L41" s="877">
        <f>IF(L40&gt;0,L40*Assumptions!$F$20,0)</f>
        <v>376264.99809128471</v>
      </c>
      <c r="M41" s="1568">
        <f>IF(M40&gt;0,M40*Assumptions!$F$20,0)</f>
        <v>494706.49565987586</v>
      </c>
    </row>
    <row r="42" spans="2:14" ht="12" thickBot="1" x14ac:dyDescent="0.25">
      <c r="B42" s="1594" t="s">
        <v>1500</v>
      </c>
      <c r="C42" s="1608" t="s">
        <v>827</v>
      </c>
      <c r="D42" s="1272"/>
      <c r="E42" s="1272"/>
      <c r="F42" s="1272"/>
      <c r="G42" s="1272"/>
      <c r="H42" s="1272"/>
      <c r="I42" s="1273">
        <f>I40-I41</f>
        <v>162078.45008333336</v>
      </c>
      <c r="J42" s="1273">
        <f t="shared" ref="J42:M42" si="13">J40-J41</f>
        <v>368114.78440154181</v>
      </c>
      <c r="K42" s="1273">
        <f t="shared" si="13"/>
        <v>523288.04409976333</v>
      </c>
      <c r="L42" s="1273">
        <f t="shared" si="13"/>
        <v>698777.85359810037</v>
      </c>
      <c r="M42" s="1596">
        <f t="shared" si="13"/>
        <v>918740.63479691232</v>
      </c>
    </row>
    <row r="43" spans="2:14" x14ac:dyDescent="0.2">
      <c r="K43" s="877"/>
    </row>
    <row r="44" spans="2:14" ht="19.5" customHeight="1" x14ac:dyDescent="0.2">
      <c r="B44" s="862" t="s">
        <v>1262</v>
      </c>
      <c r="C44" s="1609" t="s">
        <v>1485</v>
      </c>
      <c r="D44" s="1134"/>
      <c r="E44" s="1134"/>
      <c r="F44" s="865"/>
      <c r="G44" s="865"/>
      <c r="H44" s="865"/>
      <c r="I44" s="865"/>
      <c r="J44" s="865"/>
      <c r="K44" s="865"/>
      <c r="L44" s="865"/>
      <c r="M44" s="1152"/>
    </row>
    <row r="45" spans="2:14" x14ac:dyDescent="0.2">
      <c r="B45" s="1153" t="s">
        <v>1052</v>
      </c>
      <c r="C45" s="1610" t="s">
        <v>1476</v>
      </c>
      <c r="D45" s="879"/>
      <c r="E45" s="879"/>
      <c r="F45" s="879"/>
      <c r="G45" s="879"/>
      <c r="H45" s="879"/>
      <c r="I45" s="1424">
        <f>I2</f>
        <v>2025</v>
      </c>
      <c r="J45" s="1424">
        <f>J2</f>
        <v>2026</v>
      </c>
      <c r="K45" s="1424">
        <f>K2</f>
        <v>2027</v>
      </c>
      <c r="L45" s="1424">
        <f>L2</f>
        <v>2028</v>
      </c>
      <c r="M45" s="1597">
        <f>M2</f>
        <v>2029</v>
      </c>
    </row>
    <row r="46" spans="2:14" x14ac:dyDescent="0.2">
      <c r="B46" s="1476" t="s">
        <v>1304</v>
      </c>
      <c r="C46" s="1611" t="s">
        <v>1477</v>
      </c>
      <c r="I46" s="1423">
        <f>I15</f>
        <v>1290172.5</v>
      </c>
      <c r="J46" s="1423">
        <f t="shared" ref="J46:M46" si="14">J15</f>
        <v>2231849.4412499997</v>
      </c>
      <c r="K46" s="1423">
        <f t="shared" si="14"/>
        <v>2997150.6146546239</v>
      </c>
      <c r="L46" s="1423">
        <f t="shared" si="14"/>
        <v>3715267.9019258721</v>
      </c>
      <c r="M46" s="1598">
        <f t="shared" si="14"/>
        <v>4605446.0912273098</v>
      </c>
    </row>
    <row r="47" spans="2:14" x14ac:dyDescent="0.2">
      <c r="B47" s="1619" t="s">
        <v>845</v>
      </c>
      <c r="C47" s="1611" t="s">
        <v>1481</v>
      </c>
      <c r="I47" s="1423">
        <f>I22</f>
        <v>812808.67500000005</v>
      </c>
      <c r="J47" s="1423">
        <f t="shared" ref="J47:M47" si="15">J22</f>
        <v>1406065.1479874998</v>
      </c>
      <c r="K47" s="1423">
        <f t="shared" si="15"/>
        <v>1888204.887232413</v>
      </c>
      <c r="L47" s="1423">
        <f t="shared" si="15"/>
        <v>2340618.7782132998</v>
      </c>
      <c r="M47" s="1598">
        <f t="shared" si="15"/>
        <v>2901431.0374732055</v>
      </c>
    </row>
    <row r="48" spans="2:14" x14ac:dyDescent="0.2">
      <c r="B48" s="1619" t="s">
        <v>1</v>
      </c>
      <c r="C48" s="1611" t="s">
        <v>1</v>
      </c>
      <c r="I48" s="1423">
        <f>I34</f>
        <v>295184.79500000004</v>
      </c>
      <c r="J48" s="1423">
        <f t="shared" ref="J48:M48" si="16">J34</f>
        <v>605497.10420750012</v>
      </c>
      <c r="K48" s="1423">
        <f t="shared" si="16"/>
        <v>835058.52938425122</v>
      </c>
      <c r="L48" s="1423">
        <f t="shared" si="16"/>
        <v>1095876.1850227183</v>
      </c>
      <c r="M48" s="1598">
        <f t="shared" si="16"/>
        <v>1422613.797123455</v>
      </c>
    </row>
    <row r="49" spans="2:13" x14ac:dyDescent="0.2">
      <c r="B49" s="1476"/>
      <c r="C49" s="1612"/>
      <c r="I49" s="1423"/>
      <c r="J49" s="1423"/>
      <c r="K49" s="1423"/>
      <c r="L49" s="1423"/>
      <c r="M49" s="1598"/>
    </row>
    <row r="50" spans="2:13" x14ac:dyDescent="0.2">
      <c r="B50" s="1619" t="s">
        <v>1103</v>
      </c>
      <c r="C50" s="1613" t="s">
        <v>1480</v>
      </c>
      <c r="D50" s="1492"/>
      <c r="E50" s="1492"/>
      <c r="F50" s="1492"/>
      <c r="G50" s="1492"/>
      <c r="H50" s="1492"/>
      <c r="I50" s="1142">
        <f>I23</f>
        <v>0.63</v>
      </c>
      <c r="J50" s="1142">
        <f t="shared" ref="J50:M50" si="17">J23</f>
        <v>0.63</v>
      </c>
      <c r="K50" s="1142">
        <f t="shared" si="17"/>
        <v>0.63</v>
      </c>
      <c r="L50" s="1142">
        <f t="shared" si="17"/>
        <v>0.63000000000000012</v>
      </c>
      <c r="M50" s="1289">
        <f t="shared" si="17"/>
        <v>0.63000000000000012</v>
      </c>
    </row>
    <row r="51" spans="2:13" x14ac:dyDescent="0.2">
      <c r="B51" s="1619" t="s">
        <v>1104</v>
      </c>
      <c r="C51" s="1613" t="s">
        <v>1478</v>
      </c>
      <c r="D51" s="1492"/>
      <c r="E51" s="1492"/>
      <c r="F51" s="1492"/>
      <c r="G51" s="1492"/>
      <c r="H51" s="1492"/>
      <c r="I51" s="1142">
        <f>I35</f>
        <v>0.22879482782341123</v>
      </c>
      <c r="J51" s="1142">
        <f t="shared" ref="J51:M51" si="18">J35</f>
        <v>0.27129836494184717</v>
      </c>
      <c r="K51" s="1142">
        <f t="shared" si="18"/>
        <v>0.27861747264258824</v>
      </c>
      <c r="L51" s="1142">
        <f t="shared" si="18"/>
        <v>0.29496558901032477</v>
      </c>
      <c r="M51" s="1289">
        <f t="shared" si="18"/>
        <v>0.30889815425987133</v>
      </c>
    </row>
    <row r="52" spans="2:13" x14ac:dyDescent="0.2">
      <c r="B52" s="1619" t="s">
        <v>1105</v>
      </c>
      <c r="C52" s="1613" t="s">
        <v>1479</v>
      </c>
      <c r="D52" s="1492"/>
      <c r="E52" s="1492"/>
      <c r="F52" s="1492"/>
      <c r="G52" s="1492"/>
      <c r="H52" s="1492"/>
      <c r="I52" s="1142">
        <f>I38</f>
        <v>0.19326986249254785</v>
      </c>
      <c r="J52" s="1142">
        <f t="shared" ref="J52:M52" si="19">J38</f>
        <v>0.25374939145700026</v>
      </c>
      <c r="K52" s="1142">
        <f t="shared" si="19"/>
        <v>0.26860796566175305</v>
      </c>
      <c r="L52" s="1142">
        <f t="shared" si="19"/>
        <v>0.28935809746912688</v>
      </c>
      <c r="M52" s="1289">
        <f t="shared" si="19"/>
        <v>0.30690775713327639</v>
      </c>
    </row>
    <row r="53" spans="2:13" x14ac:dyDescent="0.2">
      <c r="B53" s="1476"/>
      <c r="C53" s="1612"/>
      <c r="I53" s="1423"/>
      <c r="J53" s="1423"/>
      <c r="K53" s="1423"/>
      <c r="L53" s="1423"/>
      <c r="M53" s="1598"/>
    </row>
    <row r="54" spans="2:13" x14ac:dyDescent="0.2">
      <c r="B54" s="1619" t="s">
        <v>1501</v>
      </c>
      <c r="C54" s="1611" t="s">
        <v>1482</v>
      </c>
      <c r="I54" s="1423">
        <f>Assumptions!H105</f>
        <v>4</v>
      </c>
      <c r="J54" s="1423">
        <f>Assumptions!I105</f>
        <v>6</v>
      </c>
      <c r="K54" s="1423">
        <f>Assumptions!J105</f>
        <v>8</v>
      </c>
      <c r="L54" s="1423">
        <f>Assumptions!K105</f>
        <v>9</v>
      </c>
      <c r="M54" s="1598">
        <f>Assumptions!L105</f>
        <v>10</v>
      </c>
    </row>
    <row r="55" spans="2:13" x14ac:dyDescent="0.2">
      <c r="B55" s="1619" t="s">
        <v>1502</v>
      </c>
      <c r="C55" s="1611" t="s">
        <v>1483</v>
      </c>
      <c r="I55" s="1423">
        <f>Assumptions!H106</f>
        <v>2</v>
      </c>
      <c r="J55" s="1423">
        <f>Assumptions!I106</f>
        <v>3</v>
      </c>
      <c r="K55" s="1423">
        <f>Assumptions!J106</f>
        <v>5</v>
      </c>
      <c r="L55" s="1423">
        <f>Assumptions!K106</f>
        <v>6</v>
      </c>
      <c r="M55" s="1598">
        <f>Assumptions!L106</f>
        <v>7</v>
      </c>
    </row>
    <row r="56" spans="2:13" ht="9.6" customHeight="1" x14ac:dyDescent="0.2">
      <c r="B56" s="1619" t="s">
        <v>1503</v>
      </c>
      <c r="C56" s="1611" t="s">
        <v>1484</v>
      </c>
      <c r="I56" s="1423">
        <f>I46/SUM(I54:I55)</f>
        <v>215028.75</v>
      </c>
      <c r="J56" s="1423">
        <f t="shared" ref="J56:M56" si="20">J46/SUM(J54:J55)</f>
        <v>247983.27124999996</v>
      </c>
      <c r="K56" s="1423">
        <f t="shared" si="20"/>
        <v>230550.04728112492</v>
      </c>
      <c r="L56" s="1423">
        <f t="shared" si="20"/>
        <v>247684.52679505813</v>
      </c>
      <c r="M56" s="1598">
        <f t="shared" si="20"/>
        <v>270908.59360160644</v>
      </c>
    </row>
    <row r="57" spans="2:13" ht="12" thickBot="1" x14ac:dyDescent="0.25">
      <c r="B57" s="1643"/>
      <c r="C57" s="1644"/>
      <c r="D57" s="1533"/>
      <c r="E57" s="1533"/>
      <c r="F57" s="1533"/>
      <c r="G57" s="1533"/>
      <c r="H57" s="1533"/>
      <c r="I57" s="1645"/>
      <c r="J57" s="1645"/>
      <c r="K57" s="1645"/>
      <c r="L57" s="1645"/>
      <c r="M57" s="1646"/>
    </row>
    <row r="58" spans="2:13" x14ac:dyDescent="0.2"/>
    <row r="59" spans="2:13" ht="19.5" customHeight="1" x14ac:dyDescent="0.2">
      <c r="B59" s="862" t="s">
        <v>1111</v>
      </c>
      <c r="C59" s="1486"/>
      <c r="D59" s="1134"/>
      <c r="E59" s="1134"/>
      <c r="F59" s="865"/>
      <c r="G59" s="865"/>
      <c r="H59" s="865"/>
      <c r="I59" s="865"/>
      <c r="J59" s="865"/>
      <c r="K59" s="865"/>
      <c r="L59" s="865"/>
      <c r="M59" s="1152"/>
    </row>
    <row r="60" spans="2:13" outlineLevel="1" x14ac:dyDescent="0.2">
      <c r="B60" s="1147" t="s">
        <v>41</v>
      </c>
      <c r="C60" s="1559"/>
      <c r="D60" s="1148"/>
      <c r="E60" s="1149"/>
      <c r="F60" s="1150"/>
      <c r="G60" s="1150"/>
      <c r="H60" s="1150">
        <v>45413</v>
      </c>
      <c r="I60" s="1150" t="str">
        <f>CONCATENATE("31.12.",I2)</f>
        <v>31.12.2025</v>
      </c>
      <c r="J60" s="1150">
        <f>EDATE(I60,12)</f>
        <v>46387</v>
      </c>
      <c r="K60" s="1150">
        <f t="shared" ref="K60:M60" si="21">EDATE(J60,12)</f>
        <v>46752</v>
      </c>
      <c r="L60" s="1150">
        <f t="shared" si="21"/>
        <v>47118</v>
      </c>
      <c r="M60" s="1557">
        <f t="shared" si="21"/>
        <v>47483</v>
      </c>
    </row>
    <row r="61" spans="2:13" outlineLevel="1" x14ac:dyDescent="0.2">
      <c r="B61" s="1153" t="s">
        <v>1</v>
      </c>
      <c r="C61" s="1410"/>
      <c r="I61" s="1155">
        <f>I34</f>
        <v>295184.79500000004</v>
      </c>
      <c r="J61" s="1155">
        <f>J34</f>
        <v>605497.10420750012</v>
      </c>
      <c r="K61" s="1155">
        <f>K34</f>
        <v>835058.52938425122</v>
      </c>
      <c r="L61" s="1155">
        <f>L34</f>
        <v>1095876.1850227183</v>
      </c>
      <c r="M61" s="1468">
        <f>M34</f>
        <v>1422613.797123455</v>
      </c>
    </row>
    <row r="62" spans="2:13" outlineLevel="1" x14ac:dyDescent="0.2">
      <c r="B62" s="1154" t="s">
        <v>79</v>
      </c>
      <c r="C62" s="1560"/>
      <c r="I62" s="1155">
        <f>I36</f>
        <v>45833.333333333343</v>
      </c>
      <c r="J62" s="1155">
        <f>J36</f>
        <v>39166.666666666672</v>
      </c>
      <c r="K62" s="1155">
        <f>K36</f>
        <v>30000.000000000004</v>
      </c>
      <c r="L62" s="1155">
        <f>L36</f>
        <v>20833.333333333336</v>
      </c>
      <c r="M62" s="1468">
        <f>M36</f>
        <v>9166.6666666666679</v>
      </c>
    </row>
    <row r="63" spans="2:13" outlineLevel="1" x14ac:dyDescent="0.2">
      <c r="B63" s="1154" t="s">
        <v>1106</v>
      </c>
      <c r="C63" s="1560"/>
      <c r="I63" s="1155">
        <f>-I39</f>
        <v>0</v>
      </c>
      <c r="J63" s="1155">
        <f>-J39</f>
        <v>0</v>
      </c>
      <c r="K63" s="1155">
        <f>-K39</f>
        <v>0</v>
      </c>
      <c r="L63" s="1155">
        <f>-L39</f>
        <v>0</v>
      </c>
      <c r="M63" s="1468">
        <f>-M39</f>
        <v>0</v>
      </c>
    </row>
    <row r="64" spans="2:13" outlineLevel="1" x14ac:dyDescent="0.2">
      <c r="B64" s="1154" t="s">
        <v>1017</v>
      </c>
      <c r="C64" s="1560"/>
      <c r="I64" s="1155">
        <f>-I41</f>
        <v>-87273.01158333334</v>
      </c>
      <c r="J64" s="1155">
        <f>-J41</f>
        <v>-198215.65313929171</v>
      </c>
      <c r="K64" s="1155">
        <f>-K41</f>
        <v>-281770.48528448789</v>
      </c>
      <c r="L64" s="1155">
        <f>-L41</f>
        <v>-376264.99809128471</v>
      </c>
      <c r="M64" s="1468">
        <f>-M41</f>
        <v>-494706.49565987586</v>
      </c>
    </row>
    <row r="65" spans="2:13" outlineLevel="1" x14ac:dyDescent="0.2">
      <c r="B65" s="1335" t="s">
        <v>1112</v>
      </c>
      <c r="C65" s="1561"/>
      <c r="D65" s="877"/>
      <c r="E65" s="877"/>
      <c r="F65" s="877"/>
      <c r="G65" s="877"/>
      <c r="H65" s="877"/>
      <c r="I65" s="1336">
        <f>NWC!K29</f>
        <v>-42678.565000000002</v>
      </c>
      <c r="J65" s="1336">
        <f>NWC!L29</f>
        <v>-25952.533938801324</v>
      </c>
      <c r="K65" s="1336">
        <f>NWC!M29</f>
        <v>-22331.60557164927</v>
      </c>
      <c r="L65" s="1336">
        <f>NWC!N29</f>
        <v>-18466.574576155981</v>
      </c>
      <c r="M65" s="1469">
        <f>NWC!O29</f>
        <v>-22703.327698230685</v>
      </c>
    </row>
    <row r="66" spans="2:13" outlineLevel="1" x14ac:dyDescent="0.2">
      <c r="B66" s="905" t="s">
        <v>1113</v>
      </c>
      <c r="C66" s="1410"/>
      <c r="I66" s="904">
        <f>SUM(I61:I65)</f>
        <v>211066.55175000007</v>
      </c>
      <c r="J66" s="904">
        <f>SUM(J61:J65)</f>
        <v>420495.58379607374</v>
      </c>
      <c r="K66" s="904">
        <f>SUM(K61:K65)</f>
        <v>560956.438528114</v>
      </c>
      <c r="L66" s="904">
        <f t="shared" ref="L66:M66" si="22">SUM(L61:L65)</f>
        <v>721977.9456886109</v>
      </c>
      <c r="M66" s="1015">
        <f t="shared" si="22"/>
        <v>914370.64043201506</v>
      </c>
    </row>
    <row r="67" spans="2:13" outlineLevel="1" x14ac:dyDescent="0.2">
      <c r="B67" s="899"/>
      <c r="M67" s="881"/>
    </row>
    <row r="68" spans="2:13" outlineLevel="1" x14ac:dyDescent="0.2">
      <c r="B68" s="1144" t="s">
        <v>1118</v>
      </c>
      <c r="C68" s="1562"/>
      <c r="D68" s="1158"/>
      <c r="E68" s="1159"/>
      <c r="F68" s="1156"/>
      <c r="G68" s="1156"/>
      <c r="H68" s="1157">
        <f>-'Predpoklady_SFR DSS'!H201</f>
        <v>0</v>
      </c>
      <c r="I68" s="1337">
        <v>0</v>
      </c>
      <c r="J68" s="1157">
        <f>-'Predpoklady_SFR DSS'!I201</f>
        <v>0</v>
      </c>
      <c r="K68" s="1157">
        <f>-'Predpoklady_SFR DSS'!J201</f>
        <v>0</v>
      </c>
      <c r="L68" s="1157">
        <f>-'Predpoklady_SFR DSS'!K201</f>
        <v>0</v>
      </c>
      <c r="M68" s="1381">
        <f>-'Predpoklady_SFR DSS'!L201</f>
        <v>0</v>
      </c>
    </row>
    <row r="69" spans="2:13" outlineLevel="1" x14ac:dyDescent="0.2">
      <c r="B69" s="905" t="s">
        <v>1119</v>
      </c>
      <c r="C69" s="1410"/>
      <c r="D69" s="1160"/>
      <c r="E69" s="1161"/>
      <c r="F69" s="1162"/>
      <c r="G69" s="1162"/>
      <c r="H69" s="1162">
        <f>H68</f>
        <v>0</v>
      </c>
      <c r="I69" s="1162">
        <f t="shared" ref="I69:M69" si="23">I68</f>
        <v>0</v>
      </c>
      <c r="J69" s="1162">
        <f t="shared" si="23"/>
        <v>0</v>
      </c>
      <c r="K69" s="1162">
        <f t="shared" si="23"/>
        <v>0</v>
      </c>
      <c r="L69" s="1162">
        <f t="shared" si="23"/>
        <v>0</v>
      </c>
      <c r="M69" s="1379">
        <f t="shared" si="23"/>
        <v>0</v>
      </c>
    </row>
    <row r="70" spans="2:13" outlineLevel="1" x14ac:dyDescent="0.2">
      <c r="B70" s="899"/>
      <c r="M70" s="881"/>
    </row>
    <row r="71" spans="2:13" outlineLevel="1" x14ac:dyDescent="0.2">
      <c r="B71" s="899" t="s">
        <v>1120</v>
      </c>
      <c r="H71" s="1162">
        <f>H69</f>
        <v>0</v>
      </c>
      <c r="I71" s="1162">
        <f>I66+I69</f>
        <v>211066.55175000007</v>
      </c>
      <c r="J71" s="1162">
        <f t="shared" ref="J71:M71" si="24">J66+J69</f>
        <v>420495.58379607374</v>
      </c>
      <c r="K71" s="1162">
        <f t="shared" si="24"/>
        <v>560956.438528114</v>
      </c>
      <c r="L71" s="1162">
        <f t="shared" si="24"/>
        <v>721977.9456886109</v>
      </c>
      <c r="M71" s="1470">
        <f t="shared" si="24"/>
        <v>914370.64043201506</v>
      </c>
    </row>
    <row r="72" spans="2:13" outlineLevel="1" x14ac:dyDescent="0.2">
      <c r="B72" s="899"/>
      <c r="M72" s="881"/>
    </row>
    <row r="73" spans="2:13" outlineLevel="1" x14ac:dyDescent="0.2">
      <c r="B73" s="1133" t="s">
        <v>1121</v>
      </c>
      <c r="C73" s="1563"/>
      <c r="H73" s="1338">
        <v>0</v>
      </c>
      <c r="I73" s="1338">
        <v>0</v>
      </c>
      <c r="J73" s="1338">
        <v>0</v>
      </c>
      <c r="K73" s="1338">
        <v>0</v>
      </c>
      <c r="L73" s="1338">
        <v>0</v>
      </c>
      <c r="M73" s="1471">
        <v>0</v>
      </c>
    </row>
    <row r="74" spans="2:13" outlineLevel="1" x14ac:dyDescent="0.2">
      <c r="B74" s="1144" t="s">
        <v>1040</v>
      </c>
      <c r="C74" s="1562"/>
      <c r="D74" s="877"/>
      <c r="E74" s="877"/>
      <c r="F74" s="877"/>
      <c r="G74" s="877"/>
      <c r="H74" s="1339">
        <v>0</v>
      </c>
      <c r="I74" s="1339">
        <v>0</v>
      </c>
      <c r="J74" s="1339">
        <v>0</v>
      </c>
      <c r="K74" s="1339">
        <v>0</v>
      </c>
      <c r="L74" s="1339">
        <v>0</v>
      </c>
      <c r="M74" s="1472">
        <v>0</v>
      </c>
    </row>
    <row r="75" spans="2:13" outlineLevel="1" x14ac:dyDescent="0.2">
      <c r="B75" s="1153" t="s">
        <v>1122</v>
      </c>
      <c r="C75" s="1558"/>
      <c r="D75" s="879"/>
      <c r="E75" s="879"/>
      <c r="F75" s="879"/>
      <c r="G75" s="879"/>
      <c r="H75" s="1162">
        <f>SUM(H73:H74)</f>
        <v>0</v>
      </c>
      <c r="I75" s="1162">
        <f t="shared" ref="I75:L75" si="25">SUM(I73:I74)</f>
        <v>0</v>
      </c>
      <c r="J75" s="1162">
        <f t="shared" si="25"/>
        <v>0</v>
      </c>
      <c r="K75" s="1162">
        <f t="shared" si="25"/>
        <v>0</v>
      </c>
      <c r="L75" s="1162">
        <f t="shared" si="25"/>
        <v>0</v>
      </c>
      <c r="M75" s="1470">
        <f>SUM(M73:M74)</f>
        <v>0</v>
      </c>
    </row>
    <row r="76" spans="2:13" outlineLevel="1" x14ac:dyDescent="0.2">
      <c r="B76" s="899"/>
      <c r="M76" s="881"/>
    </row>
    <row r="77" spans="2:13" outlineLevel="1" x14ac:dyDescent="0.2">
      <c r="B77" s="916" t="s">
        <v>1123</v>
      </c>
      <c r="C77" s="904"/>
      <c r="H77" s="1162">
        <f>H66+H69+H75</f>
        <v>0</v>
      </c>
      <c r="I77" s="1162">
        <f>I66+I69+I75</f>
        <v>211066.55175000007</v>
      </c>
      <c r="J77" s="1162">
        <f t="shared" ref="J77:L77" si="26">J66+J69+J75</f>
        <v>420495.58379607374</v>
      </c>
      <c r="K77" s="1162">
        <f t="shared" si="26"/>
        <v>560956.438528114</v>
      </c>
      <c r="L77" s="1162">
        <f t="shared" si="26"/>
        <v>721977.9456886109</v>
      </c>
      <c r="M77" s="1470">
        <f>M66+M69+M75</f>
        <v>914370.64043201506</v>
      </c>
    </row>
    <row r="78" spans="2:13" outlineLevel="1" x14ac:dyDescent="0.2">
      <c r="B78" s="899" t="s">
        <v>1124</v>
      </c>
      <c r="H78" s="1338">
        <f>H68</f>
        <v>0</v>
      </c>
      <c r="I78" s="1338">
        <f>I77</f>
        <v>211066.55175000007</v>
      </c>
      <c r="J78" s="1338">
        <f t="shared" ref="J78:M78" si="27">J77</f>
        <v>420495.58379607374</v>
      </c>
      <c r="K78" s="1338">
        <f t="shared" si="27"/>
        <v>560956.438528114</v>
      </c>
      <c r="L78" s="1338">
        <f t="shared" si="27"/>
        <v>721977.9456886109</v>
      </c>
      <c r="M78" s="1471">
        <f t="shared" si="27"/>
        <v>914370.64043201506</v>
      </c>
    </row>
    <row r="79" spans="2:13" outlineLevel="1" x14ac:dyDescent="0.2">
      <c r="B79" s="899" t="s">
        <v>1125</v>
      </c>
      <c r="H79" s="1162">
        <f>H78</f>
        <v>0</v>
      </c>
      <c r="I79" s="1162">
        <f>SUM(H79,I78)</f>
        <v>211066.55175000007</v>
      </c>
      <c r="J79" s="1162">
        <f t="shared" ref="J79:M79" si="28">SUM(I79,J78)</f>
        <v>631562.13554607378</v>
      </c>
      <c r="K79" s="1162">
        <f t="shared" si="28"/>
        <v>1192518.5740741878</v>
      </c>
      <c r="L79" s="1162">
        <f t="shared" si="28"/>
        <v>1914496.5197627987</v>
      </c>
      <c r="M79" s="1470">
        <f t="shared" si="28"/>
        <v>2828867.1601948137</v>
      </c>
    </row>
    <row r="80" spans="2:13" outlineLevel="1" x14ac:dyDescent="0.2">
      <c r="B80" s="903" t="s">
        <v>1126</v>
      </c>
      <c r="C80" s="877"/>
      <c r="D80" s="877"/>
      <c r="E80" s="877"/>
      <c r="F80" s="877"/>
      <c r="G80" s="877"/>
      <c r="H80" s="949"/>
      <c r="I80" s="1168">
        <f>IF(I79&lt;0,"-",ABS(H79/I78))</f>
        <v>0</v>
      </c>
      <c r="J80" s="1168">
        <f t="shared" ref="J80:M80" si="29">IF(J79&lt;0,"-",ABS(I79/J78))</f>
        <v>0.50194713067987951</v>
      </c>
      <c r="K80" s="1168">
        <f t="shared" si="29"/>
        <v>1.1258666309334484</v>
      </c>
      <c r="L80" s="1168">
        <f t="shared" si="29"/>
        <v>1.651738229949369</v>
      </c>
      <c r="M80" s="1473">
        <f t="shared" si="29"/>
        <v>2.0937860809466189</v>
      </c>
    </row>
    <row r="81" spans="2:13" outlineLevel="1" x14ac:dyDescent="0.2"/>
    <row r="82" spans="2:13" ht="19.5" customHeight="1" outlineLevel="1" x14ac:dyDescent="0.2">
      <c r="B82" s="862" t="s">
        <v>1109</v>
      </c>
      <c r="C82" s="1486"/>
      <c r="D82" s="1134"/>
      <c r="E82" s="1134"/>
      <c r="F82" s="865"/>
      <c r="G82" s="865"/>
      <c r="H82" s="865"/>
      <c r="I82" s="865"/>
      <c r="J82" s="865"/>
      <c r="K82" s="865"/>
      <c r="L82" s="865"/>
      <c r="M82" s="865"/>
    </row>
    <row r="83" spans="2:13" outlineLevel="1" x14ac:dyDescent="0.2">
      <c r="B83" s="1177"/>
      <c r="C83" s="879"/>
      <c r="D83" s="879"/>
      <c r="E83" s="879"/>
      <c r="F83" s="879"/>
      <c r="G83" s="879"/>
      <c r="H83" s="879"/>
      <c r="I83" s="879"/>
      <c r="J83" s="879"/>
      <c r="K83" s="879"/>
      <c r="L83" s="879"/>
      <c r="M83" s="880"/>
    </row>
    <row r="84" spans="2:13" outlineLevel="1" x14ac:dyDescent="0.2">
      <c r="B84" s="1133" t="s">
        <v>920</v>
      </c>
      <c r="C84" s="1563"/>
      <c r="I84" s="1165" t="e">
        <f>XIRR(H78:T78,H60:T60)</f>
        <v>#NUM!</v>
      </c>
      <c r="M84" s="881"/>
    </row>
    <row r="85" spans="2:13" outlineLevel="1" x14ac:dyDescent="0.2">
      <c r="B85" s="1133" t="s">
        <v>1110</v>
      </c>
      <c r="C85" s="1563"/>
      <c r="I85" s="1176">
        <f>COUNTIF(H79:T79,"&lt;"&amp;0)+INDEX(H80:T80,,COUNTIF(H79:T79,"&lt;"&amp;0)+1)</f>
        <v>0</v>
      </c>
      <c r="M85" s="881"/>
    </row>
    <row r="86" spans="2:13" outlineLevel="1" x14ac:dyDescent="0.2">
      <c r="B86" s="1209" t="s">
        <v>1150</v>
      </c>
      <c r="C86" s="1564"/>
      <c r="I86" s="1165" t="e">
        <f>SUM(I77:T77)/-H69</f>
        <v>#DIV/0!</v>
      </c>
      <c r="M86" s="881"/>
    </row>
    <row r="87" spans="2:13" outlineLevel="1" x14ac:dyDescent="0.2">
      <c r="B87" s="903"/>
      <c r="C87" s="877"/>
      <c r="D87" s="877"/>
      <c r="E87" s="877"/>
      <c r="F87" s="877"/>
      <c r="G87" s="877"/>
      <c r="H87" s="877"/>
      <c r="I87" s="877"/>
      <c r="J87" s="877"/>
      <c r="K87" s="877"/>
      <c r="L87" s="877"/>
      <c r="M87" s="882"/>
    </row>
    <row r="88" spans="2:13" x14ac:dyDescent="0.2"/>
    <row r="89" spans="2:13" x14ac:dyDescent="0.2"/>
    <row r="90" spans="2:13" x14ac:dyDescent="0.2"/>
    <row r="91" spans="2:13" x14ac:dyDescent="0.2"/>
    <row r="92" spans="2:13" x14ac:dyDescent="0.2"/>
    <row r="93" spans="2:13" x14ac:dyDescent="0.2"/>
    <row r="94" spans="2:13" x14ac:dyDescent="0.2"/>
    <row r="95" spans="2:13" x14ac:dyDescent="0.2"/>
    <row r="96" spans="2:13" x14ac:dyDescent="0.2"/>
    <row r="97" x14ac:dyDescent="0.2"/>
    <row r="98" x14ac:dyDescent="0.2"/>
    <row r="99" x14ac:dyDescent="0.2"/>
    <row r="100" x14ac:dyDescent="0.2"/>
    <row r="101" x14ac:dyDescent="0.2"/>
    <row r="102" x14ac:dyDescent="0.2"/>
    <row r="103" x14ac:dyDescent="0.2"/>
    <row r="104" x14ac:dyDescent="0.2"/>
    <row r="105" x14ac:dyDescent="0.2"/>
    <row r="106" x14ac:dyDescent="0.2"/>
    <row r="107" x14ac:dyDescent="0.2"/>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21D6F-2C72-429D-8546-3377566D8FD2}">
  <sheetPr>
    <tabColor rgb="FF0000FF"/>
  </sheetPr>
  <dimension ref="A1:O252"/>
  <sheetViews>
    <sheetView showGridLines="0" workbookViewId="0">
      <pane ySplit="2" topLeftCell="A121" activePane="bottomLeft" state="frozen"/>
      <selection pane="bottomLeft" activeCell="C2" sqref="C2"/>
    </sheetView>
  </sheetViews>
  <sheetFormatPr defaultColWidth="0" defaultRowHeight="11.25" zeroHeight="1" outlineLevelRow="1" x14ac:dyDescent="0.2"/>
  <cols>
    <col min="1" max="1" width="4.7109375" style="741" customWidth="1"/>
    <col min="2" max="2" width="27.85546875" style="741" hidden="1" customWidth="1"/>
    <col min="3" max="3" width="27.85546875" style="741" customWidth="1"/>
    <col min="4" max="12" width="8.85546875" style="741" customWidth="1"/>
    <col min="13" max="14" width="4.7109375" style="741" customWidth="1"/>
    <col min="15" max="15" width="0" style="741" hidden="1" customWidth="1"/>
    <col min="16" max="16384" width="8.85546875" style="741" hidden="1"/>
  </cols>
  <sheetData>
    <row r="1" spans="1:13" x14ac:dyDescent="0.2">
      <c r="A1" s="190"/>
      <c r="B1" s="190"/>
      <c r="C1" s="190"/>
      <c r="D1" s="190"/>
      <c r="E1" s="190"/>
      <c r="F1" s="190"/>
      <c r="G1" s="190"/>
      <c r="H1" s="190"/>
      <c r="I1" s="190"/>
      <c r="J1" s="190"/>
      <c r="K1" s="190"/>
      <c r="L1" s="190"/>
    </row>
    <row r="2" spans="1:13" ht="12" x14ac:dyDescent="0.2">
      <c r="A2" s="190"/>
      <c r="B2" s="374" t="str">
        <f>CONCATENATE("Predpoklady a výpočty:", Title!C17)</f>
        <v>Predpoklady a výpočty:</v>
      </c>
      <c r="C2" s="374" t="s">
        <v>1586</v>
      </c>
      <c r="D2" s="545"/>
      <c r="E2" s="190"/>
      <c r="F2" s="190"/>
      <c r="G2" s="190"/>
      <c r="H2" s="694">
        <f>E14</f>
        <v>2025</v>
      </c>
      <c r="I2" s="694">
        <f>H2+1</f>
        <v>2026</v>
      </c>
      <c r="J2" s="694">
        <f t="shared" ref="J2:L2" si="0">I2+1</f>
        <v>2027</v>
      </c>
      <c r="K2" s="694">
        <f t="shared" si="0"/>
        <v>2028</v>
      </c>
      <c r="L2" s="694">
        <f t="shared" si="0"/>
        <v>2029</v>
      </c>
    </row>
    <row r="3" spans="1:13" x14ac:dyDescent="0.2"/>
    <row r="4" spans="1:13" x14ac:dyDescent="0.2"/>
    <row r="5" spans="1:13" ht="19.5" customHeight="1" x14ac:dyDescent="0.2">
      <c r="B5" s="1098" t="s">
        <v>1000</v>
      </c>
      <c r="C5" s="1485" t="s">
        <v>1310</v>
      </c>
      <c r="D5" s="1095"/>
      <c r="E5" s="1095"/>
      <c r="F5" s="1096"/>
      <c r="G5" s="1097"/>
      <c r="H5" s="1097"/>
      <c r="I5" s="1097"/>
      <c r="J5" s="1097"/>
      <c r="K5" s="1097"/>
      <c r="L5" s="1146"/>
      <c r="M5" s="999"/>
    </row>
    <row r="6" spans="1:13" x14ac:dyDescent="0.2">
      <c r="B6" s="1425" t="s">
        <v>1001</v>
      </c>
      <c r="C6" s="1487" t="s">
        <v>1313</v>
      </c>
      <c r="D6" s="1426"/>
      <c r="E6" s="1427"/>
      <c r="F6" s="879"/>
      <c r="G6" s="879"/>
      <c r="H6" s="879"/>
      <c r="I6" s="879"/>
      <c r="J6" s="879"/>
      <c r="K6" s="879"/>
      <c r="L6" s="880"/>
      <c r="M6" s="1000"/>
    </row>
    <row r="7" spans="1:13" x14ac:dyDescent="0.2">
      <c r="B7" s="869" t="s">
        <v>1002</v>
      </c>
      <c r="C7" s="869" t="s">
        <v>1002</v>
      </c>
      <c r="D7" s="1428"/>
      <c r="E7" s="1429"/>
      <c r="L7" s="881"/>
      <c r="M7" s="1000"/>
    </row>
    <row r="8" spans="1:13" x14ac:dyDescent="0.2">
      <c r="B8" s="872" t="s">
        <v>1003</v>
      </c>
      <c r="C8" s="872" t="s">
        <v>1312</v>
      </c>
      <c r="D8" s="1428"/>
      <c r="E8" s="1429"/>
      <c r="L8" s="881"/>
      <c r="M8" s="1000"/>
    </row>
    <row r="9" spans="1:13" x14ac:dyDescent="0.2">
      <c r="B9" s="1505" t="s">
        <v>1004</v>
      </c>
      <c r="C9" s="873" t="s">
        <v>1311</v>
      </c>
      <c r="D9" s="1428"/>
      <c r="E9" s="1429"/>
      <c r="L9" s="881"/>
      <c r="M9" s="1000"/>
    </row>
    <row r="10" spans="1:13" x14ac:dyDescent="0.2">
      <c r="B10" s="1430"/>
      <c r="C10" s="1439"/>
      <c r="D10" s="1431"/>
      <c r="E10" s="1432"/>
      <c r="F10" s="877"/>
      <c r="G10" s="877"/>
      <c r="H10" s="877"/>
      <c r="I10" s="877"/>
      <c r="J10" s="877"/>
      <c r="K10" s="877"/>
      <c r="L10" s="882"/>
      <c r="M10" s="1000"/>
    </row>
    <row r="11" spans="1:13" x14ac:dyDescent="0.2">
      <c r="M11" s="1000"/>
    </row>
    <row r="12" spans="1:13" ht="19.5" customHeight="1" x14ac:dyDescent="0.2">
      <c r="B12" s="862" t="s">
        <v>1005</v>
      </c>
      <c r="C12" s="1486" t="s">
        <v>1314</v>
      </c>
      <c r="D12" s="863"/>
      <c r="E12" s="863"/>
      <c r="F12" s="864"/>
      <c r="G12" s="865"/>
      <c r="H12" s="865"/>
      <c r="I12" s="865"/>
      <c r="J12" s="865"/>
      <c r="K12" s="865"/>
      <c r="L12" s="865"/>
    </row>
    <row r="13" spans="1:13" hidden="1" outlineLevel="1" x14ac:dyDescent="0.2">
      <c r="B13" s="893" t="s">
        <v>1006</v>
      </c>
      <c r="C13" s="893"/>
      <c r="D13" s="1433"/>
      <c r="E13" s="1434"/>
      <c r="F13" s="896"/>
      <c r="G13" s="879"/>
      <c r="H13" s="879"/>
      <c r="I13" s="879"/>
      <c r="J13" s="879"/>
      <c r="K13" s="879"/>
      <c r="L13" s="880"/>
    </row>
    <row r="14" spans="1:13" hidden="1" outlineLevel="1" x14ac:dyDescent="0.2">
      <c r="B14" s="1435" t="s">
        <v>1007</v>
      </c>
      <c r="C14" s="1495" t="s">
        <v>1315</v>
      </c>
      <c r="D14" s="1436"/>
      <c r="E14" s="886">
        <v>2025</v>
      </c>
      <c r="F14" s="887"/>
      <c r="L14" s="881"/>
    </row>
    <row r="15" spans="1:13" hidden="1" outlineLevel="1" x14ac:dyDescent="0.2">
      <c r="B15" s="1435" t="s">
        <v>1008</v>
      </c>
      <c r="C15" s="1495" t="s">
        <v>1316</v>
      </c>
      <c r="D15" s="1436"/>
      <c r="E15" s="888"/>
      <c r="F15" s="887" t="s">
        <v>1009</v>
      </c>
      <c r="H15" s="897">
        <v>365</v>
      </c>
      <c r="I15" s="897">
        <v>365</v>
      </c>
      <c r="J15" s="897">
        <v>365</v>
      </c>
      <c r="K15" s="898">
        <v>365</v>
      </c>
      <c r="L15" s="983">
        <v>365</v>
      </c>
    </row>
    <row r="16" spans="1:13" hidden="1" outlineLevel="1" x14ac:dyDescent="0.2">
      <c r="B16" s="1435" t="s">
        <v>1010</v>
      </c>
      <c r="C16" s="1495" t="s">
        <v>1317</v>
      </c>
      <c r="D16" s="1436"/>
      <c r="E16" s="886">
        <v>12</v>
      </c>
      <c r="F16" s="887" t="s">
        <v>1009</v>
      </c>
      <c r="H16" s="897">
        <v>12</v>
      </c>
      <c r="I16" s="897">
        <v>12</v>
      </c>
      <c r="J16" s="897">
        <v>12</v>
      </c>
      <c r="K16" s="897">
        <v>12</v>
      </c>
      <c r="L16" s="983">
        <v>12</v>
      </c>
    </row>
    <row r="17" spans="2:12" hidden="1" outlineLevel="1" x14ac:dyDescent="0.2">
      <c r="B17" s="899"/>
      <c r="C17" s="899"/>
      <c r="L17" s="881"/>
    </row>
    <row r="18" spans="2:12" hidden="1" outlineLevel="1" x14ac:dyDescent="0.2">
      <c r="B18" s="1435"/>
      <c r="C18" s="1435"/>
      <c r="D18" s="1436"/>
      <c r="E18" s="887"/>
      <c r="F18" s="887"/>
      <c r="L18" s="881"/>
    </row>
    <row r="19" spans="2:12" hidden="1" outlineLevel="1" x14ac:dyDescent="0.2">
      <c r="B19" s="1435" t="s">
        <v>1013</v>
      </c>
      <c r="C19" s="1495" t="s">
        <v>1318</v>
      </c>
      <c r="D19" s="1436"/>
      <c r="E19" s="886">
        <v>854.16</v>
      </c>
      <c r="F19" s="887" t="s">
        <v>1319</v>
      </c>
      <c r="L19" s="881"/>
    </row>
    <row r="20" spans="2:12" hidden="1" outlineLevel="1" x14ac:dyDescent="0.2">
      <c r="B20" s="1435" t="s">
        <v>1017</v>
      </c>
      <c r="C20" s="1495" t="s">
        <v>2</v>
      </c>
      <c r="D20" s="1436"/>
      <c r="E20" s="889">
        <v>0.35</v>
      </c>
      <c r="F20" s="1627">
        <f>E20</f>
        <v>0.35</v>
      </c>
      <c r="H20" s="900">
        <f>E20</f>
        <v>0.35</v>
      </c>
      <c r="I20" s="900">
        <f>H20</f>
        <v>0.35</v>
      </c>
      <c r="J20" s="900">
        <f t="shared" ref="J20:L21" si="1">I20</f>
        <v>0.35</v>
      </c>
      <c r="K20" s="900">
        <f t="shared" si="1"/>
        <v>0.35</v>
      </c>
      <c r="L20" s="1012">
        <f t="shared" si="1"/>
        <v>0.35</v>
      </c>
    </row>
    <row r="21" spans="2:12" ht="9.6" hidden="1" customHeight="1" outlineLevel="1" x14ac:dyDescent="0.2">
      <c r="B21" s="1435" t="s">
        <v>1011</v>
      </c>
      <c r="C21" s="1495" t="s">
        <v>1320</v>
      </c>
      <c r="D21" s="1436"/>
      <c r="E21" s="889">
        <v>3.9E-2</v>
      </c>
      <c r="F21" s="887"/>
      <c r="H21" s="900">
        <f>E21</f>
        <v>3.9E-2</v>
      </c>
      <c r="I21" s="902">
        <v>3.3000000000000002E-2</v>
      </c>
      <c r="J21" s="900">
        <f t="shared" si="1"/>
        <v>3.3000000000000002E-2</v>
      </c>
      <c r="K21" s="900">
        <f t="shared" si="1"/>
        <v>3.3000000000000002E-2</v>
      </c>
      <c r="L21" s="1012">
        <f t="shared" si="1"/>
        <v>3.3000000000000002E-2</v>
      </c>
    </row>
    <row r="22" spans="2:12" ht="9.6" hidden="1" customHeight="1" outlineLevel="1" x14ac:dyDescent="0.2">
      <c r="B22" s="1435"/>
      <c r="C22" s="1506" t="s">
        <v>1323</v>
      </c>
      <c r="D22" s="1436"/>
      <c r="E22" s="887"/>
      <c r="F22" s="887"/>
      <c r="H22" s="900"/>
      <c r="I22" s="900"/>
      <c r="J22" s="900"/>
      <c r="K22" s="900"/>
      <c r="L22" s="1012"/>
    </row>
    <row r="23" spans="2:12" hidden="1" outlineLevel="1" x14ac:dyDescent="0.2">
      <c r="B23" s="899" t="s">
        <v>1015</v>
      </c>
      <c r="C23" s="899" t="s">
        <v>1321</v>
      </c>
      <c r="H23" s="897">
        <v>0</v>
      </c>
      <c r="I23" s="897">
        <f>H23+1</f>
        <v>1</v>
      </c>
      <c r="J23" s="897">
        <f t="shared" ref="J23:L23" si="2">I23+1</f>
        <v>2</v>
      </c>
      <c r="K23" s="897">
        <f t="shared" si="2"/>
        <v>3</v>
      </c>
      <c r="L23" s="983">
        <f t="shared" si="2"/>
        <v>4</v>
      </c>
    </row>
    <row r="24" spans="2:12" hidden="1" outlineLevel="1" x14ac:dyDescent="0.2">
      <c r="B24" s="899" t="s">
        <v>1016</v>
      </c>
      <c r="C24" s="899" t="s">
        <v>1322</v>
      </c>
      <c r="H24" s="901">
        <v>1</v>
      </c>
      <c r="I24" s="901">
        <f>H24*(1+I$21)</f>
        <v>1.0329999999999999</v>
      </c>
      <c r="J24" s="901">
        <f t="shared" ref="J24:L24" si="3">I24*(1+J$21)</f>
        <v>1.0670889999999997</v>
      </c>
      <c r="K24" s="901">
        <f t="shared" si="3"/>
        <v>1.1023029369999997</v>
      </c>
      <c r="L24" s="1013">
        <f t="shared" si="3"/>
        <v>1.1386789339209995</v>
      </c>
    </row>
    <row r="25" spans="2:12" outlineLevel="1" x14ac:dyDescent="0.2">
      <c r="B25" s="899"/>
      <c r="C25" s="899"/>
      <c r="H25" s="901"/>
      <c r="I25" s="901"/>
      <c r="J25" s="901"/>
      <c r="K25" s="901"/>
      <c r="L25" s="1013"/>
    </row>
    <row r="26" spans="2:12" outlineLevel="1" x14ac:dyDescent="0.2">
      <c r="B26" s="1181" t="s">
        <v>1325</v>
      </c>
      <c r="C26" s="1181" t="s">
        <v>1324</v>
      </c>
      <c r="H26" s="487">
        <f>H2</f>
        <v>2025</v>
      </c>
      <c r="I26" s="487">
        <f>H26+1</f>
        <v>2026</v>
      </c>
      <c r="J26" s="487">
        <f t="shared" ref="J26:L26" si="4">I26+1</f>
        <v>2027</v>
      </c>
      <c r="K26" s="487">
        <f t="shared" si="4"/>
        <v>2028</v>
      </c>
      <c r="L26" s="1183">
        <f t="shared" si="4"/>
        <v>2029</v>
      </c>
    </row>
    <row r="27" spans="2:12" outlineLevel="1" x14ac:dyDescent="0.2">
      <c r="B27" s="1620" t="s">
        <v>1504</v>
      </c>
      <c r="C27" s="1507" t="s">
        <v>1340</v>
      </c>
      <c r="F27" s="1086" t="s">
        <v>1009</v>
      </c>
      <c r="H27" s="976">
        <f>Scenario!J7</f>
        <v>150</v>
      </c>
      <c r="I27" s="976">
        <f>Scenario!K7</f>
        <v>195</v>
      </c>
      <c r="J27" s="976">
        <f>Scenario!L7</f>
        <v>253.5</v>
      </c>
      <c r="K27" s="976">
        <f>Scenario!M7</f>
        <v>304.2</v>
      </c>
      <c r="L27" s="1178">
        <f>Scenario!N7</f>
        <v>365.03999999999996</v>
      </c>
    </row>
    <row r="28" spans="2:12" outlineLevel="1" x14ac:dyDescent="0.2">
      <c r="B28" s="1621" t="s">
        <v>1505</v>
      </c>
      <c r="C28" s="1495" t="s">
        <v>1326</v>
      </c>
      <c r="F28" s="1086" t="s">
        <v>1062</v>
      </c>
      <c r="H28" s="1276">
        <f>Scenario!J11</f>
        <v>0</v>
      </c>
      <c r="I28" s="1517">
        <f>Scenario!K11</f>
        <v>0.3</v>
      </c>
      <c r="J28" s="1517">
        <f>Scenario!L11</f>
        <v>0.3</v>
      </c>
      <c r="K28" s="1517">
        <f>Scenario!M11</f>
        <v>0.2</v>
      </c>
      <c r="L28" s="1014">
        <f>Scenario!N11</f>
        <v>0.2</v>
      </c>
    </row>
    <row r="29" spans="2:12" outlineLevel="1" x14ac:dyDescent="0.2">
      <c r="B29" s="1373"/>
      <c r="C29" s="1373"/>
      <c r="J29" s="901"/>
      <c r="K29" s="901"/>
      <c r="L29" s="1013"/>
    </row>
    <row r="30" spans="2:12" outlineLevel="1" x14ac:dyDescent="0.2">
      <c r="B30" s="1621" t="s">
        <v>1506</v>
      </c>
      <c r="C30" s="1495" t="s">
        <v>1327</v>
      </c>
      <c r="H30" s="1489" t="s">
        <v>1328</v>
      </c>
      <c r="I30" s="1489" t="s">
        <v>1329</v>
      </c>
      <c r="J30" s="1489" t="s">
        <v>1330</v>
      </c>
      <c r="K30" s="1489" t="s">
        <v>1331</v>
      </c>
      <c r="L30" s="1490"/>
    </row>
    <row r="31" spans="2:12" outlineLevel="1" x14ac:dyDescent="0.2">
      <c r="B31" s="1621" t="s">
        <v>1507</v>
      </c>
      <c r="C31" s="1495" t="s">
        <v>1332</v>
      </c>
      <c r="H31" s="741" t="s">
        <v>1333</v>
      </c>
      <c r="J31" s="901"/>
      <c r="K31" s="901"/>
      <c r="L31" s="1013"/>
    </row>
    <row r="32" spans="2:12" outlineLevel="1" x14ac:dyDescent="0.2">
      <c r="B32" s="1373"/>
      <c r="C32" s="1373"/>
      <c r="J32" s="901"/>
      <c r="K32" s="901"/>
      <c r="L32" s="1013"/>
    </row>
    <row r="33" spans="2:12" outlineLevel="1" x14ac:dyDescent="0.2">
      <c r="B33" s="916" t="s">
        <v>1508</v>
      </c>
      <c r="C33" s="916" t="s">
        <v>1334</v>
      </c>
      <c r="J33" s="901"/>
      <c r="K33" s="901"/>
      <c r="L33" s="1013"/>
    </row>
    <row r="34" spans="2:12" outlineLevel="1" x14ac:dyDescent="0.2">
      <c r="B34" s="1616" t="s">
        <v>1487</v>
      </c>
      <c r="C34" s="1497" t="s">
        <v>1584</v>
      </c>
      <c r="E34" s="889">
        <v>0.6</v>
      </c>
      <c r="F34" s="1086" t="s">
        <v>1062</v>
      </c>
      <c r="H34" s="1517">
        <f>Scenario!J16</f>
        <v>0.6</v>
      </c>
      <c r="I34" s="1517">
        <f>Scenario!K16</f>
        <v>0.6</v>
      </c>
      <c r="J34" s="1517">
        <f>Scenario!L16</f>
        <v>0.6</v>
      </c>
      <c r="K34" s="1517">
        <f>Scenario!M16</f>
        <v>0.6</v>
      </c>
      <c r="L34" s="1014">
        <f>Scenario!N16</f>
        <v>0.6</v>
      </c>
    </row>
    <row r="35" spans="2:12" outlineLevel="1" x14ac:dyDescent="0.2">
      <c r="B35" s="1616" t="s">
        <v>1488</v>
      </c>
      <c r="C35" s="1497" t="s">
        <v>1581</v>
      </c>
      <c r="E35" s="889">
        <v>0.1</v>
      </c>
      <c r="F35" s="1086" t="s">
        <v>1062</v>
      </c>
      <c r="H35" s="1517">
        <f>Scenario!J20</f>
        <v>0.1</v>
      </c>
      <c r="I35" s="1517">
        <f>Scenario!K20</f>
        <v>0.1</v>
      </c>
      <c r="J35" s="1517">
        <f>Scenario!L20</f>
        <v>0.1</v>
      </c>
      <c r="K35" s="1517">
        <f>Scenario!M20</f>
        <v>0.1</v>
      </c>
      <c r="L35" s="1014">
        <f>Scenario!N20</f>
        <v>0.1</v>
      </c>
    </row>
    <row r="36" spans="2:12" outlineLevel="1" x14ac:dyDescent="0.2">
      <c r="B36" s="1616" t="s">
        <v>1489</v>
      </c>
      <c r="C36" s="1497" t="s">
        <v>1582</v>
      </c>
      <c r="E36" s="889">
        <v>0.15</v>
      </c>
      <c r="F36" s="1086" t="s">
        <v>1062</v>
      </c>
      <c r="H36" s="1517">
        <f>Scenario!J24</f>
        <v>0.15</v>
      </c>
      <c r="I36" s="1517">
        <f>Scenario!K24</f>
        <v>0.15</v>
      </c>
      <c r="J36" s="1517">
        <f>Scenario!L24</f>
        <v>0.15</v>
      </c>
      <c r="K36" s="1517">
        <f>Scenario!M24</f>
        <v>0.15</v>
      </c>
      <c r="L36" s="1014">
        <f>Scenario!N24</f>
        <v>0.15</v>
      </c>
    </row>
    <row r="37" spans="2:12" outlineLevel="1" x14ac:dyDescent="0.2">
      <c r="B37" s="1616" t="s">
        <v>1490</v>
      </c>
      <c r="C37" s="1497" t="s">
        <v>1346</v>
      </c>
      <c r="E37" s="889">
        <v>0.1</v>
      </c>
      <c r="F37" s="1089" t="s">
        <v>1347</v>
      </c>
      <c r="H37" s="1517">
        <f>Scenario!J28</f>
        <v>0.15</v>
      </c>
      <c r="I37" s="1517">
        <f>Scenario!K28</f>
        <v>0.15</v>
      </c>
      <c r="J37" s="1517">
        <f>Scenario!L28</f>
        <v>0.15</v>
      </c>
      <c r="K37" s="1517">
        <f>Scenario!M28</f>
        <v>0.15</v>
      </c>
      <c r="L37" s="1014">
        <f>Scenario!N28</f>
        <v>0.15</v>
      </c>
    </row>
    <row r="38" spans="2:12" ht="9.6" customHeight="1" outlineLevel="1" x14ac:dyDescent="0.2">
      <c r="B38" s="1373"/>
      <c r="C38" s="1373"/>
      <c r="E38" s="1491">
        <f>SUM(E34:E37)</f>
        <v>0.95</v>
      </c>
      <c r="F38" s="1089"/>
      <c r="H38" s="1491">
        <f>SUM(H34:H37)</f>
        <v>1</v>
      </c>
      <c r="I38" s="1491">
        <f t="shared" ref="I38:L38" si="5">SUM(I34:I37)</f>
        <v>1</v>
      </c>
      <c r="J38" s="1491">
        <f t="shared" si="5"/>
        <v>1</v>
      </c>
      <c r="K38" s="1491">
        <f t="shared" si="5"/>
        <v>1</v>
      </c>
      <c r="L38" s="1292">
        <f t="shared" si="5"/>
        <v>1</v>
      </c>
    </row>
    <row r="39" spans="2:12" outlineLevel="1" x14ac:dyDescent="0.2">
      <c r="B39" s="927" t="s">
        <v>1509</v>
      </c>
      <c r="C39" s="927" t="s">
        <v>1338</v>
      </c>
      <c r="E39" s="1089"/>
      <c r="F39" s="1089"/>
      <c r="I39" s="901"/>
      <c r="J39" s="901"/>
      <c r="K39" s="901"/>
      <c r="L39" s="1013"/>
    </row>
    <row r="40" spans="2:12" outlineLevel="1" x14ac:dyDescent="0.2">
      <c r="B40" s="1616" t="s">
        <v>1487</v>
      </c>
      <c r="C40" s="1497" t="s">
        <v>1584</v>
      </c>
      <c r="E40" s="913">
        <v>7500</v>
      </c>
      <c r="F40" s="1089" t="s">
        <v>1339</v>
      </c>
      <c r="H40" s="976">
        <f>Scenario!J33*H$24</f>
        <v>7500</v>
      </c>
      <c r="I40" s="976">
        <f>Scenario!K33*I$24</f>
        <v>7747.4999999999991</v>
      </c>
      <c r="J40" s="976">
        <f>Scenario!L33*J$24</f>
        <v>8003.1674999999977</v>
      </c>
      <c r="K40" s="976">
        <f>Scenario!M33*K$24</f>
        <v>8267.2720274999974</v>
      </c>
      <c r="L40" s="1178">
        <f>Scenario!N33*L$24</f>
        <v>8540.0920044074956</v>
      </c>
    </row>
    <row r="41" spans="2:12" outlineLevel="1" x14ac:dyDescent="0.2">
      <c r="B41" s="1616" t="s">
        <v>1488</v>
      </c>
      <c r="C41" s="1497" t="s">
        <v>1581</v>
      </c>
      <c r="E41" s="913">
        <v>17000</v>
      </c>
      <c r="F41" s="1089" t="s">
        <v>1339</v>
      </c>
      <c r="H41" s="976">
        <f>Scenario!J37*H$24</f>
        <v>17000</v>
      </c>
      <c r="I41" s="976">
        <f>Scenario!K37*I$24</f>
        <v>17561</v>
      </c>
      <c r="J41" s="976">
        <f>Scenario!L37*J$24</f>
        <v>18140.512999999995</v>
      </c>
      <c r="K41" s="976">
        <f>Scenario!M37*K$24</f>
        <v>18739.149928999996</v>
      </c>
      <c r="L41" s="1178">
        <f>Scenario!N37*L$24</f>
        <v>19357.541876656993</v>
      </c>
    </row>
    <row r="42" spans="2:12" outlineLevel="1" x14ac:dyDescent="0.2">
      <c r="B42" s="1616" t="s">
        <v>1489</v>
      </c>
      <c r="C42" s="1497" t="s">
        <v>1582</v>
      </c>
      <c r="E42" s="913">
        <v>17000</v>
      </c>
      <c r="F42" s="1089" t="s">
        <v>1339</v>
      </c>
      <c r="H42" s="976">
        <f>Scenario!J41*H$24</f>
        <v>17000</v>
      </c>
      <c r="I42" s="976">
        <f>Scenario!K41*I$24</f>
        <v>17561</v>
      </c>
      <c r="J42" s="976">
        <f>Scenario!L41*J$24</f>
        <v>18140.512999999995</v>
      </c>
      <c r="K42" s="976">
        <f>Scenario!M41*K$24</f>
        <v>18739.149928999996</v>
      </c>
      <c r="L42" s="1178">
        <f>Scenario!N41*L$24</f>
        <v>19357.541876656993</v>
      </c>
    </row>
    <row r="43" spans="2:12" outlineLevel="1" x14ac:dyDescent="0.2">
      <c r="B43" s="1616" t="s">
        <v>1490</v>
      </c>
      <c r="C43" s="1497" t="s">
        <v>1337</v>
      </c>
      <c r="E43" s="913">
        <v>800</v>
      </c>
      <c r="F43" s="1089" t="s">
        <v>1339</v>
      </c>
      <c r="H43" s="976">
        <f>Scenario!J45*H$24</f>
        <v>800</v>
      </c>
      <c r="I43" s="976">
        <f>Scenario!K45*I$24</f>
        <v>17561</v>
      </c>
      <c r="J43" s="976">
        <f>Scenario!L45*J$24</f>
        <v>18140.512999999995</v>
      </c>
      <c r="K43" s="976">
        <f>Scenario!M45*K$24</f>
        <v>18739.149928999996</v>
      </c>
      <c r="L43" s="1178">
        <f>Scenario!N45*L$24</f>
        <v>19357.541876656993</v>
      </c>
    </row>
    <row r="44" spans="2:12" outlineLevel="1" x14ac:dyDescent="0.2">
      <c r="B44" s="916"/>
      <c r="C44" s="916"/>
      <c r="F44" s="887"/>
      <c r="I44" s="901"/>
      <c r="J44" s="901"/>
      <c r="K44" s="901"/>
      <c r="L44" s="1013"/>
    </row>
    <row r="45" spans="2:12" outlineLevel="1" x14ac:dyDescent="0.2">
      <c r="B45" s="916" t="s">
        <v>1510</v>
      </c>
      <c r="C45" s="927" t="s">
        <v>1341</v>
      </c>
      <c r="E45" s="1089"/>
      <c r="F45" s="1089"/>
      <c r="I45" s="901"/>
      <c r="J45" s="901"/>
      <c r="K45" s="901"/>
      <c r="L45" s="1013"/>
    </row>
    <row r="46" spans="2:12" outlineLevel="1" x14ac:dyDescent="0.2">
      <c r="B46" s="1616" t="s">
        <v>1487</v>
      </c>
      <c r="C46" s="1497" t="s">
        <v>1584</v>
      </c>
      <c r="E46" s="913">
        <v>18</v>
      </c>
      <c r="F46" s="1089" t="s">
        <v>1342</v>
      </c>
      <c r="I46" s="901"/>
      <c r="J46" s="901"/>
      <c r="K46" s="901"/>
      <c r="L46" s="1013"/>
    </row>
    <row r="47" spans="2:12" outlineLevel="1" x14ac:dyDescent="0.2">
      <c r="B47" s="1616" t="s">
        <v>1488</v>
      </c>
      <c r="C47" s="1497" t="s">
        <v>1581</v>
      </c>
      <c r="E47" s="913">
        <v>36</v>
      </c>
      <c r="F47" s="1089" t="s">
        <v>1342</v>
      </c>
      <c r="I47" s="901"/>
      <c r="J47" s="901"/>
      <c r="K47" s="901"/>
      <c r="L47" s="1013"/>
    </row>
    <row r="48" spans="2:12" outlineLevel="1" x14ac:dyDescent="0.2">
      <c r="B48" s="1616" t="s">
        <v>1489</v>
      </c>
      <c r="C48" s="1497" t="s">
        <v>1582</v>
      </c>
      <c r="E48" s="913">
        <v>36</v>
      </c>
      <c r="F48" s="1089" t="s">
        <v>1342</v>
      </c>
      <c r="H48" s="901"/>
      <c r="I48" s="901"/>
      <c r="J48" s="901"/>
      <c r="K48" s="901"/>
      <c r="L48" s="1013"/>
    </row>
    <row r="49" spans="2:12" outlineLevel="1" x14ac:dyDescent="0.2">
      <c r="B49" s="1616" t="s">
        <v>1490</v>
      </c>
      <c r="C49" s="1497" t="s">
        <v>1337</v>
      </c>
      <c r="E49" s="913">
        <v>3</v>
      </c>
      <c r="F49" s="1089" t="s">
        <v>1342</v>
      </c>
      <c r="H49" s="901"/>
      <c r="I49" s="901"/>
      <c r="J49" s="901"/>
      <c r="K49" s="901"/>
      <c r="L49" s="1013"/>
    </row>
    <row r="50" spans="2:12" outlineLevel="1" x14ac:dyDescent="0.2">
      <c r="B50" s="916"/>
      <c r="C50" s="1497"/>
      <c r="F50" s="1089"/>
      <c r="H50" s="901"/>
      <c r="I50" s="901"/>
      <c r="J50" s="901"/>
      <c r="K50" s="901"/>
      <c r="L50" s="1013"/>
    </row>
    <row r="51" spans="2:12" outlineLevel="1" x14ac:dyDescent="0.2">
      <c r="B51" s="1641" t="s">
        <v>1575</v>
      </c>
      <c r="C51" s="1497"/>
      <c r="E51" s="889">
        <v>0.05</v>
      </c>
      <c r="F51" s="1086" t="s">
        <v>1062</v>
      </c>
      <c r="H51" s="1526">
        <v>0.05</v>
      </c>
      <c r="I51" s="1526">
        <v>0.05</v>
      </c>
      <c r="J51" s="1526">
        <v>0.05</v>
      </c>
      <c r="K51" s="1526">
        <v>0.05</v>
      </c>
      <c r="L51" s="1210">
        <v>0.05</v>
      </c>
    </row>
    <row r="52" spans="2:12" outlineLevel="1" x14ac:dyDescent="0.2">
      <c r="B52" s="1620" t="s">
        <v>1511</v>
      </c>
      <c r="C52" s="1508" t="s">
        <v>1379</v>
      </c>
      <c r="E52" s="913">
        <v>16</v>
      </c>
      <c r="F52" s="1089" t="s">
        <v>1380</v>
      </c>
      <c r="H52" s="741">
        <f>E52</f>
        <v>16</v>
      </c>
      <c r="I52" s="741">
        <f>H52</f>
        <v>16</v>
      </c>
      <c r="J52" s="741">
        <f t="shared" ref="J52:L52" si="6">I52</f>
        <v>16</v>
      </c>
      <c r="K52" s="741">
        <f t="shared" si="6"/>
        <v>16</v>
      </c>
      <c r="L52" s="881">
        <f t="shared" si="6"/>
        <v>16</v>
      </c>
    </row>
    <row r="53" spans="2:12" outlineLevel="1" x14ac:dyDescent="0.2">
      <c r="B53" s="1622"/>
      <c r="C53" s="1498"/>
      <c r="D53" s="877"/>
      <c r="E53" s="877"/>
      <c r="F53" s="1509"/>
      <c r="G53" s="877"/>
      <c r="H53" s="1124"/>
      <c r="I53" s="1124"/>
      <c r="J53" s="1124"/>
      <c r="K53" s="1124"/>
      <c r="L53" s="1188"/>
    </row>
    <row r="54" spans="2:12" x14ac:dyDescent="0.2">
      <c r="H54" s="901"/>
      <c r="I54" s="901"/>
      <c r="J54" s="901"/>
      <c r="K54" s="901"/>
      <c r="L54" s="901"/>
    </row>
    <row r="55" spans="2:12" ht="19.5" customHeight="1" x14ac:dyDescent="0.2">
      <c r="B55" s="863" t="s">
        <v>45</v>
      </c>
      <c r="C55" s="863" t="s">
        <v>1343</v>
      </c>
      <c r="D55" s="863"/>
      <c r="E55" s="863"/>
      <c r="F55" s="864"/>
      <c r="G55" s="865"/>
      <c r="H55" s="865"/>
      <c r="I55" s="865"/>
      <c r="J55" s="865"/>
      <c r="K55" s="865"/>
      <c r="L55" s="865"/>
    </row>
    <row r="56" spans="2:12" outlineLevel="1" x14ac:dyDescent="0.2">
      <c r="B56" s="893" t="s">
        <v>45</v>
      </c>
      <c r="C56" s="893" t="s">
        <v>19</v>
      </c>
      <c r="D56" s="879"/>
      <c r="E56" s="879"/>
      <c r="F56" s="879"/>
      <c r="G56" s="879"/>
      <c r="H56" s="972">
        <f>H2</f>
        <v>2025</v>
      </c>
      <c r="I56" s="972">
        <f>I2</f>
        <v>2026</v>
      </c>
      <c r="J56" s="972">
        <f>J2</f>
        <v>2027</v>
      </c>
      <c r="K56" s="972">
        <f>K2</f>
        <v>2028</v>
      </c>
      <c r="L56" s="1112">
        <f>L2</f>
        <v>2029</v>
      </c>
    </row>
    <row r="57" spans="2:12" outlineLevel="1" x14ac:dyDescent="0.2">
      <c r="B57" s="899"/>
      <c r="C57" s="899"/>
      <c r="L57" s="881"/>
    </row>
    <row r="58" spans="2:12" outlineLevel="1" x14ac:dyDescent="0.2">
      <c r="B58" s="119" t="s">
        <v>1263</v>
      </c>
      <c r="C58" s="696" t="s">
        <v>1345</v>
      </c>
      <c r="F58" s="1089"/>
      <c r="H58" s="1488">
        <f>SUM(H59:H62)</f>
        <v>1264875</v>
      </c>
      <c r="I58" s="1488">
        <f t="shared" ref="I58:L58" si="7">SUM(I59:I62)</f>
        <v>2188087.6874999995</v>
      </c>
      <c r="J58" s="1488">
        <f t="shared" si="7"/>
        <v>2938382.955543749</v>
      </c>
      <c r="K58" s="1488">
        <f t="shared" si="7"/>
        <v>3642419.5116920313</v>
      </c>
      <c r="L58" s="1493">
        <f t="shared" si="7"/>
        <v>4515143.2266934412</v>
      </c>
    </row>
    <row r="59" spans="2:12" outlineLevel="1" x14ac:dyDescent="0.2">
      <c r="B59" s="1616" t="s">
        <v>1487</v>
      </c>
      <c r="C59" s="1497" t="s">
        <v>1584</v>
      </c>
      <c r="E59" s="1089"/>
      <c r="F59" s="1089"/>
      <c r="H59" s="1492">
        <f>H34*H40*H$27*(1-H$51)</f>
        <v>641250</v>
      </c>
      <c r="I59" s="1492">
        <f t="shared" ref="I59:L59" si="8">I34*I40*I$27*(1-I$51)</f>
        <v>861134.62499999977</v>
      </c>
      <c r="J59" s="1492">
        <f t="shared" si="8"/>
        <v>1156417.6879124998</v>
      </c>
      <c r="K59" s="1492">
        <f t="shared" si="8"/>
        <v>1433495.3659363345</v>
      </c>
      <c r="L59" s="1494">
        <f t="shared" si="8"/>
        <v>1776960.8556146796</v>
      </c>
    </row>
    <row r="60" spans="2:12" outlineLevel="1" x14ac:dyDescent="0.2">
      <c r="B60" s="1616" t="s">
        <v>1488</v>
      </c>
      <c r="C60" s="1497" t="s">
        <v>1581</v>
      </c>
      <c r="F60" s="1089"/>
      <c r="H60" s="1492">
        <f>H35*H41*H$27*(1-H$51)</f>
        <v>242250</v>
      </c>
      <c r="I60" s="1492">
        <f t="shared" ref="I60:L60" si="9">I35*I41*I$27*(1-I$51)</f>
        <v>325317.52499999997</v>
      </c>
      <c r="J60" s="1492">
        <f t="shared" si="9"/>
        <v>436868.90432249987</v>
      </c>
      <c r="K60" s="1492">
        <f t="shared" si="9"/>
        <v>541542.69379817077</v>
      </c>
      <c r="L60" s="1494">
        <f t="shared" si="9"/>
        <v>671296.32323221257</v>
      </c>
    </row>
    <row r="61" spans="2:12" outlineLevel="1" x14ac:dyDescent="0.2">
      <c r="B61" s="1616" t="s">
        <v>1489</v>
      </c>
      <c r="C61" s="1497" t="s">
        <v>1585</v>
      </c>
      <c r="H61" s="1492">
        <f>H36*H42*H$27*(1-H$51)</f>
        <v>363375</v>
      </c>
      <c r="I61" s="1492">
        <f t="shared" ref="I61:L61" si="10">I36*I42*I$27*(1-I$51)</f>
        <v>487976.28749999998</v>
      </c>
      <c r="J61" s="1492">
        <f t="shared" si="10"/>
        <v>655303.35648374981</v>
      </c>
      <c r="K61" s="1492">
        <f t="shared" si="10"/>
        <v>812314.04069725634</v>
      </c>
      <c r="L61" s="1494">
        <f t="shared" si="10"/>
        <v>1006944.4848483187</v>
      </c>
    </row>
    <row r="62" spans="2:12" outlineLevel="1" x14ac:dyDescent="0.2">
      <c r="B62" s="1616" t="s">
        <v>1490</v>
      </c>
      <c r="C62" s="1497" t="s">
        <v>1337</v>
      </c>
      <c r="H62" s="1492">
        <f>H37*H43*H$27</f>
        <v>18000</v>
      </c>
      <c r="I62" s="1492">
        <f>I37*I43*I$27</f>
        <v>513659.25</v>
      </c>
      <c r="J62" s="1492">
        <f>J37*J43*J$27</f>
        <v>689793.00682499981</v>
      </c>
      <c r="K62" s="1492">
        <f>K37*K43*K$27</f>
        <v>855067.41126026982</v>
      </c>
      <c r="L62" s="1567">
        <f>L37*L43*L$27</f>
        <v>1059941.5629982303</v>
      </c>
    </row>
    <row r="63" spans="2:12" outlineLevel="1" x14ac:dyDescent="0.2">
      <c r="B63" s="1616" t="s">
        <v>1573</v>
      </c>
      <c r="C63" s="899"/>
      <c r="E63" s="889">
        <v>0.02</v>
      </c>
      <c r="F63" s="973" t="s">
        <v>1348</v>
      </c>
      <c r="H63" s="741">
        <f>$E$63*SUM(H59:H62)</f>
        <v>25297.5</v>
      </c>
      <c r="I63" s="741">
        <f t="shared" ref="I63:L63" si="11">$E$63*SUM(I59:I62)</f>
        <v>43761.753749999989</v>
      </c>
      <c r="J63" s="741">
        <f t="shared" si="11"/>
        <v>58767.659110874985</v>
      </c>
      <c r="K63" s="741">
        <f t="shared" si="11"/>
        <v>72848.390233840633</v>
      </c>
      <c r="L63" s="1636">
        <f t="shared" si="11"/>
        <v>90302.864533868822</v>
      </c>
    </row>
    <row r="64" spans="2:12" outlineLevel="1" x14ac:dyDescent="0.2">
      <c r="B64" s="899"/>
      <c r="C64" s="899"/>
      <c r="L64" s="1636"/>
    </row>
    <row r="65" spans="2:12" outlineLevel="1" x14ac:dyDescent="0.2">
      <c r="B65" s="899"/>
      <c r="C65" s="899"/>
      <c r="L65" s="1636"/>
    </row>
    <row r="66" spans="2:12" outlineLevel="1" x14ac:dyDescent="0.2">
      <c r="B66" s="119" t="s">
        <v>1512</v>
      </c>
      <c r="C66" s="899" t="s">
        <v>1394</v>
      </c>
      <c r="E66" s="889">
        <v>0</v>
      </c>
      <c r="F66" s="973" t="s">
        <v>1348</v>
      </c>
      <c r="H66" s="741">
        <f>$E$66*H$58</f>
        <v>0</v>
      </c>
      <c r="I66" s="741">
        <f t="shared" ref="I66:L66" si="12">$E$66*I$58</f>
        <v>0</v>
      </c>
      <c r="J66" s="741">
        <f t="shared" si="12"/>
        <v>0</v>
      </c>
      <c r="K66" s="741">
        <f t="shared" si="12"/>
        <v>0</v>
      </c>
      <c r="L66" s="1636">
        <f t="shared" si="12"/>
        <v>0</v>
      </c>
    </row>
    <row r="67" spans="2:12" outlineLevel="1" x14ac:dyDescent="0.2">
      <c r="B67" s="899"/>
      <c r="C67" s="899"/>
      <c r="L67" s="1636"/>
    </row>
    <row r="68" spans="2:12" outlineLevel="1" x14ac:dyDescent="0.2">
      <c r="B68" s="916" t="s">
        <v>1019</v>
      </c>
      <c r="C68" s="916" t="s">
        <v>1344</v>
      </c>
      <c r="H68" s="904">
        <f>SUM(H58,H63,H66)</f>
        <v>1290172.5</v>
      </c>
      <c r="I68" s="904">
        <f t="shared" ref="I68:L68" si="13">SUM(I58,I63,I66)</f>
        <v>2231849.4412499997</v>
      </c>
      <c r="J68" s="904">
        <f t="shared" si="13"/>
        <v>2997150.6146546239</v>
      </c>
      <c r="K68" s="904">
        <f t="shared" si="13"/>
        <v>3715267.9019258721</v>
      </c>
      <c r="L68" s="1576">
        <f t="shared" si="13"/>
        <v>4605446.0912273098</v>
      </c>
    </row>
    <row r="69" spans="2:12" outlineLevel="1" x14ac:dyDescent="0.2">
      <c r="B69" s="903"/>
      <c r="C69" s="903"/>
      <c r="D69" s="877"/>
      <c r="E69" s="877"/>
      <c r="F69" s="877"/>
      <c r="G69" s="877"/>
      <c r="H69" s="877"/>
      <c r="I69" s="877"/>
      <c r="J69" s="877"/>
      <c r="K69" s="877"/>
      <c r="L69" s="1568"/>
    </row>
    <row r="70" spans="2:12" x14ac:dyDescent="0.2"/>
    <row r="71" spans="2:12" ht="19.5" customHeight="1" x14ac:dyDescent="0.2">
      <c r="B71" s="862" t="s">
        <v>48</v>
      </c>
      <c r="C71" s="1486" t="s">
        <v>1349</v>
      </c>
      <c r="D71" s="863"/>
      <c r="E71" s="863"/>
      <c r="F71" s="864"/>
      <c r="G71" s="865"/>
      <c r="H71" s="865"/>
      <c r="I71" s="865"/>
      <c r="J71" s="865"/>
      <c r="K71" s="865"/>
      <c r="L71" s="865"/>
    </row>
    <row r="72" spans="2:12" outlineLevel="1" x14ac:dyDescent="0.2">
      <c r="B72" s="893" t="s">
        <v>48</v>
      </c>
      <c r="C72" s="893" t="s">
        <v>1349</v>
      </c>
      <c r="D72" s="879"/>
      <c r="E72" s="879"/>
      <c r="F72" s="879"/>
      <c r="G72" s="879"/>
      <c r="H72" s="879"/>
      <c r="I72" s="879"/>
      <c r="J72" s="879"/>
      <c r="K72" s="879"/>
      <c r="L72" s="880"/>
    </row>
    <row r="73" spans="2:12" outlineLevel="1" x14ac:dyDescent="0.2">
      <c r="B73" s="899" t="s">
        <v>1491</v>
      </c>
      <c r="C73" s="899" t="s">
        <v>1350</v>
      </c>
      <c r="E73" s="889">
        <v>0.35</v>
      </c>
      <c r="F73" s="973" t="s">
        <v>1348</v>
      </c>
      <c r="H73" s="1264">
        <f>$E$73*H$68</f>
        <v>451560.375</v>
      </c>
      <c r="I73" s="1264">
        <f t="shared" ref="I73:L73" si="14">$E$73*I$68</f>
        <v>781147.30443749984</v>
      </c>
      <c r="J73" s="1264">
        <f t="shared" si="14"/>
        <v>1049002.7151291184</v>
      </c>
      <c r="K73" s="1264">
        <f t="shared" si="14"/>
        <v>1300343.7656740551</v>
      </c>
      <c r="L73" s="1391">
        <f t="shared" si="14"/>
        <v>1611906.1319295582</v>
      </c>
    </row>
    <row r="74" spans="2:12" outlineLevel="1" x14ac:dyDescent="0.2">
      <c r="B74" s="899" t="s">
        <v>1091</v>
      </c>
      <c r="C74" s="899" t="s">
        <v>1530</v>
      </c>
      <c r="E74" s="889">
        <v>0.02</v>
      </c>
      <c r="F74" s="973" t="s">
        <v>1348</v>
      </c>
      <c r="H74" s="741">
        <f>$E$74*H$68</f>
        <v>25803.45</v>
      </c>
      <c r="I74" s="741">
        <f t="shared" ref="I74:L74" si="15">$E$74*I$68</f>
        <v>44636.988824999993</v>
      </c>
      <c r="J74" s="741">
        <f t="shared" si="15"/>
        <v>59943.012293092477</v>
      </c>
      <c r="K74" s="741">
        <f t="shared" si="15"/>
        <v>74305.358038517443</v>
      </c>
      <c r="L74" s="881">
        <f t="shared" si="15"/>
        <v>92108.921824546196</v>
      </c>
    </row>
    <row r="75" spans="2:12" outlineLevel="1" x14ac:dyDescent="0.2">
      <c r="B75" s="899" t="s">
        <v>607</v>
      </c>
      <c r="C75" s="899" t="s">
        <v>607</v>
      </c>
      <c r="E75" s="889">
        <v>0.35</v>
      </c>
      <c r="F75" s="973" t="s">
        <v>1440</v>
      </c>
      <c r="H75" s="1264">
        <f>$E$75*H66</f>
        <v>0</v>
      </c>
      <c r="I75" s="1264">
        <f t="shared" ref="I75:L75" si="16">$E$75*I66</f>
        <v>0</v>
      </c>
      <c r="J75" s="1264">
        <f t="shared" si="16"/>
        <v>0</v>
      </c>
      <c r="K75" s="1264">
        <f t="shared" si="16"/>
        <v>0</v>
      </c>
      <c r="L75" s="1391">
        <f t="shared" si="16"/>
        <v>0</v>
      </c>
    </row>
    <row r="76" spans="2:12" outlineLevel="1" x14ac:dyDescent="0.2">
      <c r="B76" s="899"/>
      <c r="C76" s="899"/>
      <c r="L76" s="881"/>
    </row>
    <row r="77" spans="2:12" outlineLevel="1" x14ac:dyDescent="0.2">
      <c r="B77" s="916" t="s">
        <v>1030</v>
      </c>
      <c r="C77" s="916" t="s">
        <v>1352</v>
      </c>
      <c r="H77" s="904">
        <f>SUM(H73:H75)</f>
        <v>477363.82500000001</v>
      </c>
      <c r="I77" s="904">
        <f t="shared" ref="I77:L77" si="17">SUM(I73:I75)</f>
        <v>825784.29326249985</v>
      </c>
      <c r="J77" s="904">
        <f t="shared" si="17"/>
        <v>1108945.7274222109</v>
      </c>
      <c r="K77" s="904">
        <f t="shared" si="17"/>
        <v>1374649.1237125725</v>
      </c>
      <c r="L77" s="1015">
        <f t="shared" si="17"/>
        <v>1704015.0537541045</v>
      </c>
    </row>
    <row r="78" spans="2:12" outlineLevel="1" x14ac:dyDescent="0.2">
      <c r="B78" s="974" t="s">
        <v>1031</v>
      </c>
      <c r="C78" s="974"/>
      <c r="H78" s="973">
        <f>H68-H77</f>
        <v>812808.67500000005</v>
      </c>
      <c r="I78" s="973">
        <f>I68-I77</f>
        <v>1406065.1479874998</v>
      </c>
      <c r="J78" s="973">
        <f>J68-J77</f>
        <v>1888204.887232413</v>
      </c>
      <c r="K78" s="973">
        <f>K68-K77</f>
        <v>2340618.7782132998</v>
      </c>
      <c r="L78" s="1187">
        <f>L68-L77</f>
        <v>2901431.0374732055</v>
      </c>
    </row>
    <row r="79" spans="2:12" outlineLevel="1" x14ac:dyDescent="0.2">
      <c r="B79" s="974"/>
      <c r="C79" s="974"/>
      <c r="H79" s="1281">
        <f>H78/H68</f>
        <v>0.63</v>
      </c>
      <c r="I79" s="1281">
        <f>I78/I68</f>
        <v>0.63</v>
      </c>
      <c r="J79" s="1281">
        <f>J78/J68</f>
        <v>0.63</v>
      </c>
      <c r="K79" s="1281">
        <f>K78/K68</f>
        <v>0.63000000000000012</v>
      </c>
      <c r="L79" s="1292">
        <f>L78/L68</f>
        <v>0.63000000000000012</v>
      </c>
    </row>
    <row r="80" spans="2:12" outlineLevel="1" x14ac:dyDescent="0.2">
      <c r="B80" s="1437" t="s">
        <v>497</v>
      </c>
      <c r="C80" s="1507" t="s">
        <v>1353</v>
      </c>
      <c r="H80" s="978">
        <v>0</v>
      </c>
      <c r="I80" s="978">
        <v>0</v>
      </c>
      <c r="J80" s="978">
        <v>0</v>
      </c>
      <c r="K80" s="978">
        <v>0</v>
      </c>
      <c r="L80" s="1184">
        <v>0</v>
      </c>
    </row>
    <row r="81" spans="2:12" outlineLevel="1" x14ac:dyDescent="0.2">
      <c r="B81" s="903"/>
      <c r="C81" s="903"/>
      <c r="D81" s="877"/>
      <c r="E81" s="877"/>
      <c r="F81" s="877"/>
      <c r="G81" s="877"/>
      <c r="H81" s="1282"/>
      <c r="I81" s="1282"/>
      <c r="J81" s="1282"/>
      <c r="K81" s="1282"/>
      <c r="L81" s="1510"/>
    </row>
    <row r="82" spans="2:12" x14ac:dyDescent="0.2">
      <c r="H82" s="915"/>
      <c r="I82" s="915"/>
      <c r="J82" s="915"/>
      <c r="K82" s="915"/>
      <c r="L82" s="915"/>
    </row>
    <row r="83" spans="2:12" ht="19.5" customHeight="1" x14ac:dyDescent="0.2">
      <c r="B83" s="862" t="s">
        <v>59</v>
      </c>
      <c r="C83" s="1486" t="s">
        <v>1354</v>
      </c>
      <c r="D83" s="863"/>
      <c r="E83" s="863"/>
      <c r="F83" s="864"/>
      <c r="G83" s="865"/>
      <c r="H83" s="865"/>
      <c r="I83" s="865"/>
      <c r="J83" s="865"/>
      <c r="K83" s="865"/>
      <c r="L83" s="865"/>
    </row>
    <row r="84" spans="2:12" outlineLevel="1" x14ac:dyDescent="0.2">
      <c r="B84" s="893" t="s">
        <v>1021</v>
      </c>
      <c r="C84" s="893" t="s">
        <v>1354</v>
      </c>
      <c r="D84" s="879"/>
      <c r="E84" s="879"/>
      <c r="F84" s="879"/>
      <c r="G84" s="879"/>
      <c r="H84" s="879"/>
      <c r="I84" s="879"/>
      <c r="J84" s="879"/>
      <c r="K84" s="879"/>
      <c r="L84" s="880"/>
    </row>
    <row r="85" spans="2:12" outlineLevel="1" x14ac:dyDescent="0.2">
      <c r="B85" s="927" t="s">
        <v>1355</v>
      </c>
      <c r="C85" s="927" t="s">
        <v>1355</v>
      </c>
      <c r="D85" s="1090"/>
      <c r="E85" s="1091"/>
      <c r="F85" s="1092"/>
      <c r="G85" s="1093"/>
      <c r="H85" s="1093"/>
      <c r="I85" s="1093"/>
      <c r="J85" s="1093"/>
      <c r="K85" s="1093"/>
      <c r="L85" s="941"/>
    </row>
    <row r="86" spans="2:12" outlineLevel="1" x14ac:dyDescent="0.2">
      <c r="B86" s="1085" t="s">
        <v>1059</v>
      </c>
      <c r="C86" s="1495" t="s">
        <v>1009</v>
      </c>
      <c r="D86" s="1090"/>
      <c r="E86" s="1091"/>
      <c r="F86" s="1092" t="s">
        <v>1009</v>
      </c>
      <c r="G86" s="934"/>
      <c r="H86" s="1093">
        <v>1</v>
      </c>
      <c r="I86" s="1093">
        <v>1</v>
      </c>
      <c r="J86" s="1093">
        <v>1</v>
      </c>
      <c r="K86" s="1093">
        <v>1</v>
      </c>
      <c r="L86" s="1113">
        <v>1</v>
      </c>
    </row>
    <row r="87" spans="2:12" outlineLevel="1" x14ac:dyDescent="0.2">
      <c r="B87" s="1085" t="s">
        <v>1068</v>
      </c>
      <c r="C87" s="1495" t="s">
        <v>1356</v>
      </c>
      <c r="D87" s="1090"/>
      <c r="E87" s="913">
        <v>3000</v>
      </c>
      <c r="F87" s="1496" t="s">
        <v>1357</v>
      </c>
      <c r="G87" s="934"/>
      <c r="H87" s="1094">
        <f>$E87*H86*H$16</f>
        <v>36000</v>
      </c>
      <c r="I87" s="1094">
        <f t="shared" ref="I87:L87" si="18">$E87*I86*I$16</f>
        <v>36000</v>
      </c>
      <c r="J87" s="1094">
        <f t="shared" si="18"/>
        <v>36000</v>
      </c>
      <c r="K87" s="1094">
        <f t="shared" si="18"/>
        <v>36000</v>
      </c>
      <c r="L87" s="1114">
        <f t="shared" si="18"/>
        <v>36000</v>
      </c>
    </row>
    <row r="88" spans="2:12" outlineLevel="1" x14ac:dyDescent="0.2">
      <c r="B88" s="927" t="s">
        <v>1513</v>
      </c>
      <c r="C88" s="927" t="s">
        <v>1358</v>
      </c>
      <c r="L88" s="881"/>
    </row>
    <row r="89" spans="2:12" outlineLevel="1" x14ac:dyDescent="0.2">
      <c r="B89" s="1085" t="s">
        <v>1059</v>
      </c>
      <c r="C89" s="1495" t="s">
        <v>1009</v>
      </c>
      <c r="E89" s="1091"/>
      <c r="F89" s="1092" t="s">
        <v>1009</v>
      </c>
      <c r="H89" s="1093">
        <v>1</v>
      </c>
      <c r="I89" s="1093">
        <v>1</v>
      </c>
      <c r="J89" s="1093">
        <v>1</v>
      </c>
      <c r="K89" s="1093">
        <v>1</v>
      </c>
      <c r="L89" s="1113">
        <v>1</v>
      </c>
    </row>
    <row r="90" spans="2:12" outlineLevel="1" x14ac:dyDescent="0.2">
      <c r="B90" s="1085" t="s">
        <v>1068</v>
      </c>
      <c r="C90" s="1495" t="s">
        <v>1356</v>
      </c>
      <c r="E90" s="913">
        <v>2500</v>
      </c>
      <c r="F90" s="1496" t="s">
        <v>1357</v>
      </c>
      <c r="H90" s="1094">
        <f>$E90*H89*H$16</f>
        <v>30000</v>
      </c>
      <c r="I90" s="1094">
        <f t="shared" ref="I90:L90" si="19">$E90*I89*I$16</f>
        <v>30000</v>
      </c>
      <c r="J90" s="1094">
        <f t="shared" si="19"/>
        <v>30000</v>
      </c>
      <c r="K90" s="1094">
        <f t="shared" si="19"/>
        <v>30000</v>
      </c>
      <c r="L90" s="1114">
        <f t="shared" si="19"/>
        <v>30000</v>
      </c>
    </row>
    <row r="91" spans="2:12" outlineLevel="1" x14ac:dyDescent="0.2">
      <c r="B91" s="927" t="s">
        <v>1514</v>
      </c>
      <c r="C91" s="927" t="s">
        <v>1359</v>
      </c>
      <c r="L91" s="881"/>
    </row>
    <row r="92" spans="2:12" outlineLevel="1" x14ac:dyDescent="0.2">
      <c r="B92" s="1085" t="s">
        <v>1059</v>
      </c>
      <c r="C92" s="1495" t="s">
        <v>1009</v>
      </c>
      <c r="E92" s="1091"/>
      <c r="F92" s="1092" t="s">
        <v>1009</v>
      </c>
      <c r="H92" s="1093">
        <v>1</v>
      </c>
      <c r="I92" s="1093">
        <v>2</v>
      </c>
      <c r="J92" s="1093">
        <v>3</v>
      </c>
      <c r="K92" s="1093">
        <v>3</v>
      </c>
      <c r="L92" s="1113">
        <v>3</v>
      </c>
    </row>
    <row r="93" spans="2:12" outlineLevel="1" x14ac:dyDescent="0.2">
      <c r="B93" s="1085" t="s">
        <v>1068</v>
      </c>
      <c r="C93" s="1495" t="s">
        <v>1356</v>
      </c>
      <c r="E93" s="913">
        <v>2200</v>
      </c>
      <c r="F93" s="1496" t="s">
        <v>1357</v>
      </c>
      <c r="H93" s="1094">
        <f>$E93*H92*H$16</f>
        <v>26400</v>
      </c>
      <c r="I93" s="1094">
        <f t="shared" ref="I93" si="20">$E93*I92*I$16</f>
        <v>52800</v>
      </c>
      <c r="J93" s="1094">
        <f t="shared" ref="J93" si="21">$E93*J92*J$16</f>
        <v>79200</v>
      </c>
      <c r="K93" s="1094">
        <f t="shared" ref="K93" si="22">$E93*K92*K$16</f>
        <v>79200</v>
      </c>
      <c r="L93" s="1114">
        <f t="shared" ref="L93" si="23">$E93*L92*L$16</f>
        <v>79200</v>
      </c>
    </row>
    <row r="94" spans="2:12" outlineLevel="1" x14ac:dyDescent="0.2">
      <c r="B94" s="927" t="s">
        <v>1515</v>
      </c>
      <c r="C94" s="927" t="s">
        <v>1360</v>
      </c>
      <c r="L94" s="881"/>
    </row>
    <row r="95" spans="2:12" outlineLevel="1" x14ac:dyDescent="0.2">
      <c r="B95" s="1085" t="s">
        <v>1059</v>
      </c>
      <c r="C95" s="1495" t="s">
        <v>1009</v>
      </c>
      <c r="E95" s="1091"/>
      <c r="F95" s="1092" t="s">
        <v>1009</v>
      </c>
      <c r="H95" s="1093">
        <v>1</v>
      </c>
      <c r="I95" s="1093">
        <v>2</v>
      </c>
      <c r="J95" s="1093">
        <v>3</v>
      </c>
      <c r="K95" s="1093">
        <v>4</v>
      </c>
      <c r="L95" s="1113">
        <v>5</v>
      </c>
    </row>
    <row r="96" spans="2:12" outlineLevel="1" x14ac:dyDescent="0.2">
      <c r="B96" s="1085" t="s">
        <v>1068</v>
      </c>
      <c r="C96" s="1495" t="s">
        <v>1356</v>
      </c>
      <c r="E96" s="913">
        <v>1800</v>
      </c>
      <c r="F96" s="1496" t="s">
        <v>1357</v>
      </c>
      <c r="H96" s="1094">
        <f>$E96*H95*H$16</f>
        <v>21600</v>
      </c>
      <c r="I96" s="1094">
        <f t="shared" ref="I96" si="24">$E96*I95*I$16</f>
        <v>43200</v>
      </c>
      <c r="J96" s="1094">
        <f t="shared" ref="J96" si="25">$E96*J95*J$16</f>
        <v>64800</v>
      </c>
      <c r="K96" s="1094">
        <f t="shared" ref="K96" si="26">$E96*K95*K$16</f>
        <v>86400</v>
      </c>
      <c r="L96" s="1114">
        <f t="shared" ref="L96" si="27">$E96*L95*L$16</f>
        <v>108000</v>
      </c>
    </row>
    <row r="97" spans="2:12" outlineLevel="1" x14ac:dyDescent="0.2">
      <c r="B97" s="927" t="s">
        <v>1516</v>
      </c>
      <c r="C97" s="927" t="s">
        <v>1361</v>
      </c>
      <c r="L97" s="881"/>
    </row>
    <row r="98" spans="2:12" outlineLevel="1" x14ac:dyDescent="0.2">
      <c r="B98" s="1085" t="s">
        <v>1059</v>
      </c>
      <c r="C98" s="1495" t="s">
        <v>1362</v>
      </c>
      <c r="E98" s="1091"/>
      <c r="F98" s="1092" t="s">
        <v>1009</v>
      </c>
      <c r="H98" s="1093">
        <v>1</v>
      </c>
      <c r="I98" s="1093">
        <v>1</v>
      </c>
      <c r="J98" s="1093">
        <v>2</v>
      </c>
      <c r="K98" s="1093">
        <v>3</v>
      </c>
      <c r="L98" s="1113">
        <v>3</v>
      </c>
    </row>
    <row r="99" spans="2:12" outlineLevel="1" x14ac:dyDescent="0.2">
      <c r="B99" s="1085" t="s">
        <v>1068</v>
      </c>
      <c r="C99" s="1495" t="s">
        <v>1356</v>
      </c>
      <c r="E99" s="913">
        <v>1000</v>
      </c>
      <c r="F99" s="1496" t="s">
        <v>1357</v>
      </c>
      <c r="H99" s="1094">
        <f>$E99*H98*H$16</f>
        <v>12000</v>
      </c>
      <c r="I99" s="1094">
        <f t="shared" ref="I99" si="28">$E99*I98*I$16</f>
        <v>12000</v>
      </c>
      <c r="J99" s="1094">
        <f t="shared" ref="J99" si="29">$E99*J98*J$16</f>
        <v>24000</v>
      </c>
      <c r="K99" s="1094">
        <f t="shared" ref="K99" si="30">$E99*K98*K$16</f>
        <v>36000</v>
      </c>
      <c r="L99" s="1114">
        <f t="shared" ref="L99" si="31">$E99*L98*L$16</f>
        <v>36000</v>
      </c>
    </row>
    <row r="100" spans="2:12" outlineLevel="1" x14ac:dyDescent="0.2">
      <c r="B100" s="927" t="s">
        <v>1515</v>
      </c>
      <c r="C100" s="927" t="s">
        <v>1360</v>
      </c>
      <c r="L100" s="881"/>
    </row>
    <row r="101" spans="2:12" outlineLevel="1" x14ac:dyDescent="0.2">
      <c r="B101" s="1085" t="s">
        <v>1059</v>
      </c>
      <c r="C101" s="1495" t="s">
        <v>1362</v>
      </c>
      <c r="E101" s="1091"/>
      <c r="F101" s="1092" t="s">
        <v>1009</v>
      </c>
      <c r="H101" s="1093">
        <v>1</v>
      </c>
      <c r="I101" s="1093">
        <v>2</v>
      </c>
      <c r="J101" s="1093">
        <v>3</v>
      </c>
      <c r="K101" s="1093">
        <v>3</v>
      </c>
      <c r="L101" s="1113">
        <v>4</v>
      </c>
    </row>
    <row r="102" spans="2:12" outlineLevel="1" x14ac:dyDescent="0.2">
      <c r="B102" s="1085" t="s">
        <v>1068</v>
      </c>
      <c r="C102" s="1495" t="s">
        <v>1356</v>
      </c>
      <c r="E102" s="913">
        <v>1500</v>
      </c>
      <c r="F102" s="1496" t="s">
        <v>1357</v>
      </c>
      <c r="H102" s="1094">
        <f>$E102*H101*H$16</f>
        <v>18000</v>
      </c>
      <c r="I102" s="1094">
        <f t="shared" ref="I102" si="32">$E102*I101*I$16</f>
        <v>36000</v>
      </c>
      <c r="J102" s="1094">
        <f t="shared" ref="J102" si="33">$E102*J101*J$16</f>
        <v>54000</v>
      </c>
      <c r="K102" s="1094">
        <f t="shared" ref="K102" si="34">$E102*K101*K$16</f>
        <v>54000</v>
      </c>
      <c r="L102" s="1114">
        <f t="shared" ref="L102" si="35">$E102*L101*L$16</f>
        <v>72000</v>
      </c>
    </row>
    <row r="103" spans="2:12" outlineLevel="1" x14ac:dyDescent="0.2">
      <c r="B103" s="899"/>
      <c r="C103" s="899"/>
      <c r="E103" s="973"/>
      <c r="F103" s="973"/>
      <c r="L103" s="881"/>
    </row>
    <row r="104" spans="2:12" outlineLevel="1" x14ac:dyDescent="0.2">
      <c r="B104" s="916" t="s">
        <v>1517</v>
      </c>
      <c r="C104" s="916" t="s">
        <v>1363</v>
      </c>
      <c r="E104" s="973"/>
      <c r="F104" s="973"/>
      <c r="L104" s="881"/>
    </row>
    <row r="105" spans="2:12" outlineLevel="1" x14ac:dyDescent="0.2">
      <c r="B105" s="1497" t="s">
        <v>1518</v>
      </c>
      <c r="C105" s="1497" t="s">
        <v>1364</v>
      </c>
      <c r="E105" s="973"/>
      <c r="F105" s="973"/>
      <c r="H105" s="741">
        <f>SUM(H86,H89,H92,H95)</f>
        <v>4</v>
      </c>
      <c r="I105" s="741">
        <f t="shared" ref="I105:L105" si="36">SUM(I86,I89,I92,I95)</f>
        <v>6</v>
      </c>
      <c r="J105" s="741">
        <f t="shared" si="36"/>
        <v>8</v>
      </c>
      <c r="K105" s="741">
        <f t="shared" si="36"/>
        <v>9</v>
      </c>
      <c r="L105" s="881">
        <f t="shared" si="36"/>
        <v>10</v>
      </c>
    </row>
    <row r="106" spans="2:12" outlineLevel="1" x14ac:dyDescent="0.2">
      <c r="B106" s="1497" t="s">
        <v>1576</v>
      </c>
      <c r="C106" s="1498" t="s">
        <v>1365</v>
      </c>
      <c r="D106" s="877"/>
      <c r="E106" s="1046"/>
      <c r="F106" s="1046"/>
      <c r="G106" s="877"/>
      <c r="H106" s="877">
        <f>SUM(H98,H101)</f>
        <v>2</v>
      </c>
      <c r="I106" s="877">
        <f t="shared" ref="I106:L106" si="37">SUM(I98,I101)</f>
        <v>3</v>
      </c>
      <c r="J106" s="877">
        <f t="shared" si="37"/>
        <v>5</v>
      </c>
      <c r="K106" s="877">
        <f t="shared" si="37"/>
        <v>6</v>
      </c>
      <c r="L106" s="882">
        <f t="shared" si="37"/>
        <v>7</v>
      </c>
    </row>
    <row r="107" spans="2:12" outlineLevel="1" x14ac:dyDescent="0.2">
      <c r="B107" s="916" t="s">
        <v>1519</v>
      </c>
      <c r="C107" s="1269" t="s">
        <v>1366</v>
      </c>
      <c r="E107" s="973"/>
      <c r="F107" s="973"/>
      <c r="H107" s="904">
        <f>SUM(H105:H106)</f>
        <v>6</v>
      </c>
      <c r="I107" s="904">
        <f t="shared" ref="I107:L107" si="38">SUM(I105:I106)</f>
        <v>9</v>
      </c>
      <c r="J107" s="904">
        <f t="shared" si="38"/>
        <v>13</v>
      </c>
      <c r="K107" s="904">
        <f t="shared" si="38"/>
        <v>15</v>
      </c>
      <c r="L107" s="1015">
        <f t="shared" si="38"/>
        <v>17</v>
      </c>
    </row>
    <row r="108" spans="2:12" outlineLevel="1" x14ac:dyDescent="0.2">
      <c r="B108" s="899"/>
      <c r="C108" s="899"/>
      <c r="E108" s="973"/>
      <c r="F108" s="973"/>
      <c r="L108" s="881"/>
    </row>
    <row r="109" spans="2:12" outlineLevel="1" x14ac:dyDescent="0.2">
      <c r="B109" s="916" t="s">
        <v>1072</v>
      </c>
      <c r="C109" s="916" t="s">
        <v>1367</v>
      </c>
      <c r="E109" s="973"/>
      <c r="F109" s="973"/>
      <c r="L109" s="881"/>
    </row>
    <row r="110" spans="2:12" outlineLevel="1" x14ac:dyDescent="0.2">
      <c r="B110" s="1085" t="s">
        <v>1073</v>
      </c>
      <c r="C110" s="1495" t="s">
        <v>1368</v>
      </c>
      <c r="D110" s="934"/>
      <c r="E110" s="934"/>
      <c r="F110" s="1115" t="s">
        <v>1062</v>
      </c>
      <c r="H110" s="902">
        <v>0</v>
      </c>
      <c r="I110" s="902">
        <v>1.4999999999999999E-2</v>
      </c>
      <c r="J110" s="902">
        <v>1.4999999999999999E-2</v>
      </c>
      <c r="K110" s="902">
        <v>0.02</v>
      </c>
      <c r="L110" s="1210">
        <v>0.02</v>
      </c>
    </row>
    <row r="111" spans="2:12" outlineLevel="1" x14ac:dyDescent="0.2">
      <c r="B111" s="1621" t="s">
        <v>1520</v>
      </c>
      <c r="C111" s="1495" t="s">
        <v>1370</v>
      </c>
      <c r="D111" s="934"/>
      <c r="E111" s="934"/>
      <c r="F111" s="1115" t="s">
        <v>41</v>
      </c>
      <c r="H111" s="1118">
        <f>SUM(H87,H90,H93,H96)*(1+H$110)</f>
        <v>114000</v>
      </c>
      <c r="I111" s="1118">
        <f t="shared" ref="I111:L111" si="39">SUM(I87,I90,I93,I96)*(1+I$110)</f>
        <v>164429.99999999997</v>
      </c>
      <c r="J111" s="1118">
        <f t="shared" si="39"/>
        <v>213149.99999999997</v>
      </c>
      <c r="K111" s="1118">
        <f t="shared" si="39"/>
        <v>236232</v>
      </c>
      <c r="L111" s="1119">
        <f t="shared" si="39"/>
        <v>258264</v>
      </c>
    </row>
    <row r="112" spans="2:12" outlineLevel="1" x14ac:dyDescent="0.2">
      <c r="B112" s="1621" t="s">
        <v>1521</v>
      </c>
      <c r="C112" s="1495" t="s">
        <v>1371</v>
      </c>
      <c r="D112" s="934"/>
      <c r="E112" s="934"/>
      <c r="F112" s="1115" t="s">
        <v>41</v>
      </c>
      <c r="H112" s="1118">
        <f>SUM(H99,H102)</f>
        <v>30000</v>
      </c>
      <c r="I112" s="1118">
        <f t="shared" ref="I112:L112" si="40">SUM(I99,I102)</f>
        <v>48000</v>
      </c>
      <c r="J112" s="1118">
        <f t="shared" si="40"/>
        <v>78000</v>
      </c>
      <c r="K112" s="1118">
        <f t="shared" si="40"/>
        <v>90000</v>
      </c>
      <c r="L112" s="1119">
        <f t="shared" si="40"/>
        <v>108000</v>
      </c>
    </row>
    <row r="113" spans="2:12" outlineLevel="1" x14ac:dyDescent="0.2">
      <c r="B113" s="1621" t="s">
        <v>1522</v>
      </c>
      <c r="C113" s="1495" t="s">
        <v>1369</v>
      </c>
      <c r="D113" s="934"/>
      <c r="E113" s="934"/>
      <c r="F113" s="1115" t="s">
        <v>1062</v>
      </c>
      <c r="H113" s="902">
        <v>0.35199999999999998</v>
      </c>
      <c r="I113" s="902">
        <v>0.35199999999999998</v>
      </c>
      <c r="J113" s="902">
        <v>0.35199999999999998</v>
      </c>
      <c r="K113" s="902">
        <v>0.35199999999999998</v>
      </c>
      <c r="L113" s="1210">
        <v>0.35199999999999998</v>
      </c>
    </row>
    <row r="114" spans="2:12" outlineLevel="1" x14ac:dyDescent="0.2">
      <c r="B114" s="1621" t="s">
        <v>1523</v>
      </c>
      <c r="C114" s="1495" t="s">
        <v>1373</v>
      </c>
      <c r="F114" s="1115" t="s">
        <v>1062</v>
      </c>
      <c r="H114" s="902">
        <v>0.33800000000000002</v>
      </c>
      <c r="I114" s="902">
        <v>0.33800000000000002</v>
      </c>
      <c r="J114" s="902">
        <v>0.33800000000000002</v>
      </c>
      <c r="K114" s="902">
        <v>0.33800000000000002</v>
      </c>
      <c r="L114" s="1210">
        <v>0.33800000000000002</v>
      </c>
    </row>
    <row r="115" spans="2:12" outlineLevel="1" x14ac:dyDescent="0.2">
      <c r="B115" s="916"/>
      <c r="C115" s="1495"/>
      <c r="L115" s="881"/>
    </row>
    <row r="116" spans="2:12" outlineLevel="1" x14ac:dyDescent="0.2">
      <c r="B116" s="916" t="s">
        <v>1033</v>
      </c>
      <c r="C116" s="916" t="s">
        <v>1372</v>
      </c>
      <c r="H116" s="904">
        <f>(H111*(1+H$113))+(H112*(1+H$114)-(H$106*625*H$16))</f>
        <v>179267.99999999997</v>
      </c>
      <c r="I116" s="904">
        <f>(I111*(1+I$113))+(I112*(1+I$114)-(I$106*625*I$16))</f>
        <v>264033.35999999993</v>
      </c>
      <c r="J116" s="904">
        <f>(J111*(1+J$113))+(J112*(1+J$114)-(J$106*625*J$16))</f>
        <v>355042.79999999993</v>
      </c>
      <c r="K116" s="904">
        <f>(K111*(1+K$113))+(K112*(1+K$114)-(K$106*625*K$16))</f>
        <v>394805.66399999999</v>
      </c>
      <c r="L116" s="1015">
        <f>(L111*(1+L$113))+(L112*(1+L$114)-(L$106*625*L$16))</f>
        <v>441176.92799999996</v>
      </c>
    </row>
    <row r="117" spans="2:12" outlineLevel="1" x14ac:dyDescent="0.2">
      <c r="B117" s="917"/>
      <c r="C117" s="917"/>
      <c r="D117" s="877"/>
      <c r="E117" s="877"/>
      <c r="F117" s="877"/>
      <c r="G117" s="877"/>
      <c r="H117" s="1282"/>
      <c r="I117" s="1282"/>
      <c r="J117" s="877"/>
      <c r="K117" s="877"/>
      <c r="L117" s="882"/>
    </row>
    <row r="118" spans="2:12" x14ac:dyDescent="0.2"/>
    <row r="119" spans="2:12" ht="19.5" customHeight="1" x14ac:dyDescent="0.2">
      <c r="B119" s="862" t="s">
        <v>1020</v>
      </c>
      <c r="C119" s="1486" t="s">
        <v>1374</v>
      </c>
      <c r="D119" s="863"/>
      <c r="E119" s="863"/>
      <c r="F119" s="864"/>
      <c r="G119" s="865"/>
      <c r="H119" s="865"/>
      <c r="I119" s="865"/>
      <c r="J119" s="865"/>
      <c r="K119" s="865"/>
      <c r="L119" s="865"/>
    </row>
    <row r="120" spans="2:12" outlineLevel="1" x14ac:dyDescent="0.2">
      <c r="B120" s="893" t="s">
        <v>626</v>
      </c>
      <c r="C120" s="893" t="s">
        <v>1375</v>
      </c>
      <c r="D120" s="879"/>
      <c r="E120" s="879"/>
      <c r="F120" s="879"/>
      <c r="G120" s="879"/>
      <c r="H120" s="879"/>
      <c r="I120" s="879"/>
      <c r="J120" s="879"/>
      <c r="K120" s="879"/>
      <c r="L120" s="880"/>
    </row>
    <row r="121" spans="2:12" outlineLevel="1" x14ac:dyDescent="0.2">
      <c r="B121" s="1620" t="s">
        <v>1170</v>
      </c>
      <c r="C121" s="1507" t="s">
        <v>1170</v>
      </c>
      <c r="E121" s="889">
        <v>0.15</v>
      </c>
      <c r="F121" s="1089" t="s">
        <v>1383</v>
      </c>
      <c r="H121" s="741">
        <f>$E121*H$68</f>
        <v>193525.875</v>
      </c>
      <c r="I121" s="741">
        <f t="shared" ref="I121:L121" si="41">$E121*I$68</f>
        <v>334777.41618749994</v>
      </c>
      <c r="J121" s="741">
        <f t="shared" si="41"/>
        <v>449572.5921981936</v>
      </c>
      <c r="K121" s="741">
        <f t="shared" si="41"/>
        <v>557290.18528888084</v>
      </c>
      <c r="L121" s="881">
        <f t="shared" si="41"/>
        <v>690816.91368409642</v>
      </c>
    </row>
    <row r="122" spans="2:12" outlineLevel="1" x14ac:dyDescent="0.2">
      <c r="B122" s="1620" t="s">
        <v>1185</v>
      </c>
      <c r="C122" s="1507" t="s">
        <v>1376</v>
      </c>
      <c r="E122" s="913">
        <v>300</v>
      </c>
      <c r="F122" s="1089" t="s">
        <v>1357</v>
      </c>
      <c r="H122" s="741">
        <f>$E122*H$24*H$16</f>
        <v>3600</v>
      </c>
      <c r="I122" s="741">
        <f t="shared" ref="I122:L122" si="42">$E122*I$24*I$16</f>
        <v>3718.7999999999997</v>
      </c>
      <c r="J122" s="741">
        <f t="shared" si="42"/>
        <v>3841.520399999999</v>
      </c>
      <c r="K122" s="741">
        <f t="shared" si="42"/>
        <v>3968.290573199999</v>
      </c>
      <c r="L122" s="881">
        <f t="shared" si="42"/>
        <v>4099.2441621155986</v>
      </c>
    </row>
    <row r="123" spans="2:12" outlineLevel="1" x14ac:dyDescent="0.2">
      <c r="B123" s="1620" t="s">
        <v>1524</v>
      </c>
      <c r="C123" s="1507" t="s">
        <v>1377</v>
      </c>
      <c r="E123" s="913">
        <v>600</v>
      </c>
      <c r="F123" s="1089" t="s">
        <v>1378</v>
      </c>
      <c r="H123" s="741">
        <f>$E123*H$24*H$52</f>
        <v>9600</v>
      </c>
      <c r="I123" s="741">
        <f>$E123*I$24*I$52</f>
        <v>9916.7999999999993</v>
      </c>
      <c r="J123" s="741">
        <f>$E123*J$24*J$52</f>
        <v>10244.054399999997</v>
      </c>
      <c r="K123" s="741">
        <f>$E123*K$24*K$52</f>
        <v>10582.108195199997</v>
      </c>
      <c r="L123" s="881">
        <f>$E123*L$24*L$52</f>
        <v>10931.317765641596</v>
      </c>
    </row>
    <row r="124" spans="2:12" outlineLevel="1" x14ac:dyDescent="0.2">
      <c r="B124" s="1620" t="s">
        <v>1525</v>
      </c>
      <c r="C124" s="1507" t="s">
        <v>1381</v>
      </c>
      <c r="E124" s="913">
        <v>650</v>
      </c>
      <c r="F124" s="1089" t="s">
        <v>1357</v>
      </c>
      <c r="H124" s="741">
        <f>$E124*H$24*H$16</f>
        <v>7800</v>
      </c>
      <c r="I124" s="741">
        <f t="shared" ref="I124:L124" si="43">$E124*I$24*I$16</f>
        <v>8057.4</v>
      </c>
      <c r="J124" s="741">
        <f t="shared" si="43"/>
        <v>8323.2941999999985</v>
      </c>
      <c r="K124" s="741">
        <f t="shared" si="43"/>
        <v>8597.9629085999968</v>
      </c>
      <c r="L124" s="881">
        <f t="shared" si="43"/>
        <v>8881.6956845837958</v>
      </c>
    </row>
    <row r="125" spans="2:12" outlineLevel="1" x14ac:dyDescent="0.2">
      <c r="B125" s="1620" t="s">
        <v>1526</v>
      </c>
      <c r="C125" s="1507" t="s">
        <v>1382</v>
      </c>
      <c r="E125" s="889">
        <v>1.4999999999999999E-2</v>
      </c>
      <c r="F125" s="1089" t="s">
        <v>1383</v>
      </c>
      <c r="H125" s="741">
        <f>$E125*H$68</f>
        <v>19352.587499999998</v>
      </c>
      <c r="I125" s="741">
        <f t="shared" ref="I125:L126" si="44">$E125*I$68</f>
        <v>33477.741618749991</v>
      </c>
      <c r="J125" s="741">
        <f t="shared" si="44"/>
        <v>44957.25921981936</v>
      </c>
      <c r="K125" s="741">
        <f t="shared" si="44"/>
        <v>55729.018528888082</v>
      </c>
      <c r="L125" s="881">
        <f t="shared" si="44"/>
        <v>69081.691368409651</v>
      </c>
    </row>
    <row r="126" spans="2:12" outlineLevel="1" x14ac:dyDescent="0.2">
      <c r="B126" s="1620" t="s">
        <v>1527</v>
      </c>
      <c r="C126" s="1507" t="s">
        <v>1384</v>
      </c>
      <c r="E126" s="889">
        <v>2.5000000000000001E-2</v>
      </c>
      <c r="F126" s="1089" t="s">
        <v>1383</v>
      </c>
      <c r="H126" s="741">
        <f>$E126*H$68</f>
        <v>32254.3125</v>
      </c>
      <c r="I126" s="741">
        <f t="shared" si="44"/>
        <v>55796.236031249995</v>
      </c>
      <c r="J126" s="741">
        <f t="shared" si="44"/>
        <v>74928.765366365595</v>
      </c>
      <c r="K126" s="741">
        <f t="shared" si="44"/>
        <v>92881.697548146811</v>
      </c>
      <c r="L126" s="881">
        <f t="shared" si="44"/>
        <v>115136.15228068276</v>
      </c>
    </row>
    <row r="127" spans="2:12" outlineLevel="1" x14ac:dyDescent="0.2">
      <c r="B127" s="1620" t="s">
        <v>1528</v>
      </c>
      <c r="C127" s="1507" t="s">
        <v>1385</v>
      </c>
      <c r="E127" s="913">
        <v>300</v>
      </c>
      <c r="F127" s="1089" t="s">
        <v>1357</v>
      </c>
      <c r="H127" s="741">
        <f>$E127*H$24*H$16</f>
        <v>3600</v>
      </c>
      <c r="I127" s="741">
        <f t="shared" ref="I127:L129" si="45">$E127*I$24*I$16</f>
        <v>3718.7999999999997</v>
      </c>
      <c r="J127" s="741">
        <f t="shared" si="45"/>
        <v>3841.520399999999</v>
      </c>
      <c r="K127" s="741">
        <f t="shared" si="45"/>
        <v>3968.290573199999</v>
      </c>
      <c r="L127" s="881">
        <f t="shared" si="45"/>
        <v>4099.2441621155986</v>
      </c>
    </row>
    <row r="128" spans="2:12" outlineLevel="1" x14ac:dyDescent="0.2">
      <c r="B128" s="1620" t="s">
        <v>1529</v>
      </c>
      <c r="C128" s="1507" t="s">
        <v>1386</v>
      </c>
      <c r="E128" s="913">
        <v>250</v>
      </c>
      <c r="F128" s="1089" t="s">
        <v>1357</v>
      </c>
      <c r="H128" s="741">
        <f>$E128*H$24*H$16</f>
        <v>3000</v>
      </c>
      <c r="I128" s="741">
        <f t="shared" si="45"/>
        <v>3099</v>
      </c>
      <c r="J128" s="741">
        <f t="shared" si="45"/>
        <v>3201.2669999999989</v>
      </c>
      <c r="K128" s="741">
        <f t="shared" si="45"/>
        <v>3306.9088109999993</v>
      </c>
      <c r="L128" s="881">
        <f t="shared" si="45"/>
        <v>3416.0368017629985</v>
      </c>
    </row>
    <row r="129" spans="2:12" outlineLevel="1" x14ac:dyDescent="0.2">
      <c r="B129" s="1620" t="s">
        <v>1531</v>
      </c>
      <c r="C129" s="1507" t="s">
        <v>1387</v>
      </c>
      <c r="E129" s="913">
        <v>550</v>
      </c>
      <c r="F129" s="1089" t="s">
        <v>1357</v>
      </c>
      <c r="H129" s="741">
        <f>$E129*H$24*H$16</f>
        <v>6600</v>
      </c>
      <c r="I129" s="741">
        <f t="shared" si="45"/>
        <v>6817.7999999999993</v>
      </c>
      <c r="J129" s="741">
        <f t="shared" si="45"/>
        <v>7042.7873999999993</v>
      </c>
      <c r="K129" s="741">
        <f t="shared" si="45"/>
        <v>7275.1993841999974</v>
      </c>
      <c r="L129" s="881">
        <f t="shared" si="45"/>
        <v>7515.2809638785966</v>
      </c>
    </row>
    <row r="130" spans="2:12" outlineLevel="1" x14ac:dyDescent="0.2">
      <c r="B130" s="1620" t="s">
        <v>1532</v>
      </c>
      <c r="C130" s="1507" t="s">
        <v>1388</v>
      </c>
      <c r="E130" s="913">
        <v>6000</v>
      </c>
      <c r="F130" s="1089" t="s">
        <v>1389</v>
      </c>
      <c r="H130" s="741">
        <f>$E130*H$24</f>
        <v>6000</v>
      </c>
      <c r="I130" s="741">
        <f t="shared" ref="I130:L131" si="46">$E130*I$24</f>
        <v>6197.9999999999991</v>
      </c>
      <c r="J130" s="741">
        <f t="shared" si="46"/>
        <v>6402.5339999999987</v>
      </c>
      <c r="K130" s="741">
        <f t="shared" si="46"/>
        <v>6613.8176219999987</v>
      </c>
      <c r="L130" s="881">
        <f t="shared" si="46"/>
        <v>6832.073603525997</v>
      </c>
    </row>
    <row r="131" spans="2:12" outlineLevel="1" x14ac:dyDescent="0.2">
      <c r="B131" s="1620" t="s">
        <v>1533</v>
      </c>
      <c r="C131" s="1507" t="s">
        <v>1390</v>
      </c>
      <c r="E131" s="913">
        <v>25000</v>
      </c>
      <c r="F131" s="1089" t="s">
        <v>1389</v>
      </c>
      <c r="H131" s="741">
        <f>$E131*H$24</f>
        <v>25000</v>
      </c>
      <c r="I131" s="741">
        <f t="shared" si="46"/>
        <v>25824.999999999996</v>
      </c>
      <c r="J131" s="741">
        <f t="shared" si="46"/>
        <v>26677.224999999995</v>
      </c>
      <c r="K131" s="741">
        <f t="shared" si="46"/>
        <v>27557.573424999991</v>
      </c>
      <c r="L131" s="881">
        <f t="shared" si="46"/>
        <v>28466.973348024989</v>
      </c>
    </row>
    <row r="132" spans="2:12" outlineLevel="1" x14ac:dyDescent="0.2">
      <c r="B132" s="1620" t="s">
        <v>1534</v>
      </c>
      <c r="C132" s="1507" t="s">
        <v>1391</v>
      </c>
      <c r="E132" s="913">
        <v>400</v>
      </c>
      <c r="F132" s="1089" t="s">
        <v>1357</v>
      </c>
      <c r="H132" s="741">
        <f>$E132*H$24*H$16</f>
        <v>4800</v>
      </c>
      <c r="I132" s="741">
        <f t="shared" ref="I132:L132" si="47">$E132*I$24*I$16</f>
        <v>4958.3999999999996</v>
      </c>
      <c r="J132" s="741">
        <f t="shared" si="47"/>
        <v>5122.0271999999986</v>
      </c>
      <c r="K132" s="741">
        <f t="shared" si="47"/>
        <v>5291.0540975999993</v>
      </c>
      <c r="L132" s="881">
        <f t="shared" si="47"/>
        <v>5465.6588828207969</v>
      </c>
    </row>
    <row r="133" spans="2:12" outlineLevel="1" x14ac:dyDescent="0.2">
      <c r="B133" s="1620" t="s">
        <v>1496</v>
      </c>
      <c r="C133" s="1507" t="s">
        <v>1393</v>
      </c>
      <c r="E133" s="889">
        <v>0.01</v>
      </c>
      <c r="F133" s="1089" t="s">
        <v>1383</v>
      </c>
      <c r="H133" s="741">
        <f>$E133*H$68</f>
        <v>12901.725</v>
      </c>
      <c r="I133" s="741">
        <f t="shared" ref="I133:L134" si="48">$E133*I$68</f>
        <v>22318.494412499997</v>
      </c>
      <c r="J133" s="741">
        <f t="shared" si="48"/>
        <v>29971.506146546239</v>
      </c>
      <c r="K133" s="741">
        <f t="shared" si="48"/>
        <v>37152.679019258721</v>
      </c>
      <c r="L133" s="881">
        <f t="shared" si="48"/>
        <v>46054.460912273098</v>
      </c>
    </row>
    <row r="134" spans="2:12" ht="9.6" customHeight="1" outlineLevel="1" x14ac:dyDescent="0.2">
      <c r="B134" s="1437" t="s">
        <v>68</v>
      </c>
      <c r="C134" s="1507" t="s">
        <v>28</v>
      </c>
      <c r="E134" s="889">
        <v>8.0000000000000002E-3</v>
      </c>
      <c r="F134" s="1089" t="s">
        <v>1383</v>
      </c>
      <c r="H134" s="741">
        <f>$E134*H$68</f>
        <v>10321.380000000001</v>
      </c>
      <c r="I134" s="741">
        <f t="shared" si="48"/>
        <v>17854.795529999999</v>
      </c>
      <c r="J134" s="741">
        <f t="shared" si="48"/>
        <v>23977.204917236992</v>
      </c>
      <c r="K134" s="741">
        <f t="shared" si="48"/>
        <v>29722.143215406977</v>
      </c>
      <c r="L134" s="881">
        <f t="shared" si="48"/>
        <v>36843.568729818478</v>
      </c>
    </row>
    <row r="135" spans="2:12" outlineLevel="1" x14ac:dyDescent="0.2">
      <c r="B135" s="1437" t="s">
        <v>1095</v>
      </c>
      <c r="C135" s="1507" t="s">
        <v>1392</v>
      </c>
      <c r="E135" s="913">
        <v>0</v>
      </c>
      <c r="F135" s="973"/>
      <c r="H135" s="1264"/>
      <c r="I135" s="1264"/>
      <c r="J135" s="1264"/>
      <c r="K135" s="1264"/>
      <c r="L135" s="1391"/>
    </row>
    <row r="136" spans="2:12" outlineLevel="1" x14ac:dyDescent="0.2">
      <c r="B136" s="916"/>
      <c r="C136" s="916"/>
      <c r="L136" s="881"/>
    </row>
    <row r="137" spans="2:12" outlineLevel="1" x14ac:dyDescent="0.2">
      <c r="B137" s="916" t="s">
        <v>1035</v>
      </c>
      <c r="C137" s="916" t="s">
        <v>1429</v>
      </c>
      <c r="H137" s="904">
        <f>SUM(H121:H135)</f>
        <v>338355.88</v>
      </c>
      <c r="I137" s="904">
        <f>SUM(I121:I135)</f>
        <v>536534.68377999985</v>
      </c>
      <c r="J137" s="904">
        <f>SUM(J121:J135)</f>
        <v>698103.55784816178</v>
      </c>
      <c r="K137" s="904">
        <f>SUM(K121:K135)</f>
        <v>849936.92919058143</v>
      </c>
      <c r="L137" s="1015">
        <f>SUM(L121:L135)</f>
        <v>1037640.3123497504</v>
      </c>
    </row>
    <row r="138" spans="2:12" outlineLevel="1" x14ac:dyDescent="0.2">
      <c r="B138" s="1294"/>
      <c r="C138" s="1294"/>
      <c r="D138" s="1295"/>
      <c r="E138" s="1295"/>
      <c r="F138" s="1295"/>
      <c r="G138" s="1295"/>
      <c r="H138" s="1295"/>
      <c r="I138" s="1295"/>
      <c r="J138" s="1295"/>
      <c r="K138" s="1295"/>
      <c r="L138" s="1296"/>
    </row>
    <row r="139" spans="2:12" x14ac:dyDescent="0.2">
      <c r="B139" s="904"/>
      <c r="C139" s="904"/>
    </row>
    <row r="140" spans="2:12" ht="19.5" customHeight="1" x14ac:dyDescent="0.2">
      <c r="B140" s="862" t="s">
        <v>1178</v>
      </c>
      <c r="C140" s="1486" t="s">
        <v>1395</v>
      </c>
      <c r="D140" s="863"/>
      <c r="E140" s="863"/>
      <c r="F140" s="864"/>
      <c r="G140" s="865"/>
      <c r="H140" s="865"/>
      <c r="I140" s="865"/>
      <c r="J140" s="865"/>
      <c r="K140" s="865"/>
      <c r="L140" s="865"/>
    </row>
    <row r="141" spans="2:12" outlineLevel="1" x14ac:dyDescent="0.2">
      <c r="B141" s="893" t="s">
        <v>1027</v>
      </c>
      <c r="C141" s="893" t="s">
        <v>1396</v>
      </c>
      <c r="D141" s="879"/>
      <c r="E141" s="879"/>
      <c r="F141" s="879"/>
      <c r="G141" s="972">
        <v>2024</v>
      </c>
      <c r="H141" s="972">
        <f>H2</f>
        <v>2025</v>
      </c>
      <c r="I141" s="972">
        <f>I2</f>
        <v>2026</v>
      </c>
      <c r="J141" s="972">
        <f>J2</f>
        <v>2027</v>
      </c>
      <c r="K141" s="972">
        <f>K2</f>
        <v>2028</v>
      </c>
      <c r="L141" s="1112">
        <f>L2</f>
        <v>2029</v>
      </c>
    </row>
    <row r="142" spans="2:12" outlineLevel="1" x14ac:dyDescent="0.2">
      <c r="B142" s="1619" t="s">
        <v>1535</v>
      </c>
      <c r="C142" s="1499" t="s">
        <v>1397</v>
      </c>
      <c r="E142" s="913">
        <v>5000</v>
      </c>
      <c r="F142" s="1011"/>
      <c r="G142" s="978">
        <f t="shared" ref="G142:G146" si="49">E142</f>
        <v>5000</v>
      </c>
      <c r="H142" s="978">
        <v>5000</v>
      </c>
      <c r="I142" s="978">
        <v>10000</v>
      </c>
      <c r="J142" s="978">
        <v>0</v>
      </c>
      <c r="K142" s="978">
        <v>0</v>
      </c>
      <c r="L142" s="1184">
        <v>0</v>
      </c>
    </row>
    <row r="143" spans="2:12" outlineLevel="1" x14ac:dyDescent="0.2">
      <c r="B143" s="1619" t="s">
        <v>1201</v>
      </c>
      <c r="C143" s="1499" t="s">
        <v>1398</v>
      </c>
      <c r="E143" s="913">
        <v>20000</v>
      </c>
      <c r="G143" s="978">
        <v>0</v>
      </c>
      <c r="H143" s="978">
        <v>0</v>
      </c>
      <c r="I143" s="978">
        <v>0</v>
      </c>
      <c r="J143" s="978">
        <v>0</v>
      </c>
      <c r="K143" s="978">
        <v>0</v>
      </c>
      <c r="L143" s="1184">
        <v>0</v>
      </c>
    </row>
    <row r="144" spans="2:12" ht="9.6" customHeight="1" outlineLevel="1" x14ac:dyDescent="0.2">
      <c r="B144" s="1619" t="s">
        <v>1536</v>
      </c>
      <c r="C144" s="1499" t="s">
        <v>1399</v>
      </c>
      <c r="E144" s="913">
        <v>15000</v>
      </c>
      <c r="G144" s="978">
        <f t="shared" si="49"/>
        <v>15000</v>
      </c>
      <c r="H144" s="978">
        <v>0</v>
      </c>
      <c r="I144" s="978">
        <v>5000</v>
      </c>
      <c r="J144" s="978">
        <v>0</v>
      </c>
      <c r="K144" s="978">
        <v>0</v>
      </c>
      <c r="L144" s="1184">
        <v>0</v>
      </c>
    </row>
    <row r="145" spans="2:12" outlineLevel="1" x14ac:dyDescent="0.2">
      <c r="B145" s="1619" t="s">
        <v>1084</v>
      </c>
      <c r="C145" s="1499" t="s">
        <v>99</v>
      </c>
      <c r="E145" s="913">
        <v>10000</v>
      </c>
      <c r="G145" s="978">
        <f t="shared" si="49"/>
        <v>10000</v>
      </c>
      <c r="H145" s="978">
        <v>0</v>
      </c>
      <c r="I145" s="978">
        <v>0</v>
      </c>
      <c r="J145" s="978">
        <v>0</v>
      </c>
      <c r="K145" s="978">
        <v>10000</v>
      </c>
      <c r="L145" s="1184">
        <v>0</v>
      </c>
    </row>
    <row r="146" spans="2:12" outlineLevel="1" x14ac:dyDescent="0.2">
      <c r="B146" s="1438"/>
      <c r="C146" s="1438"/>
      <c r="E146" s="913">
        <v>0</v>
      </c>
      <c r="G146" s="978">
        <f t="shared" si="49"/>
        <v>0</v>
      </c>
      <c r="H146" s="978">
        <v>0</v>
      </c>
      <c r="I146" s="978">
        <v>0</v>
      </c>
      <c r="J146" s="978">
        <v>0</v>
      </c>
      <c r="K146" s="978">
        <v>0</v>
      </c>
      <c r="L146" s="1184">
        <v>0</v>
      </c>
    </row>
    <row r="147" spans="2:12" outlineLevel="1" x14ac:dyDescent="0.2">
      <c r="B147" s="1439"/>
      <c r="C147" s="1439"/>
      <c r="D147" s="877"/>
      <c r="E147" s="877"/>
      <c r="F147" s="877"/>
      <c r="G147" s="877"/>
      <c r="H147" s="1039"/>
      <c r="I147" s="1039"/>
      <c r="J147" s="1039"/>
      <c r="K147" s="1039"/>
      <c r="L147" s="1441"/>
    </row>
    <row r="148" spans="2:12" outlineLevel="1" x14ac:dyDescent="0.2">
      <c r="B148" s="905" t="s">
        <v>1054</v>
      </c>
      <c r="C148" s="905" t="s">
        <v>1400</v>
      </c>
      <c r="G148" s="1010">
        <f t="shared" ref="G148:L148" si="50">SUM(G142:G147)</f>
        <v>30000</v>
      </c>
      <c r="H148" s="1010">
        <f t="shared" si="50"/>
        <v>5000</v>
      </c>
      <c r="I148" s="1010">
        <f t="shared" si="50"/>
        <v>15000</v>
      </c>
      <c r="J148" s="1010">
        <f t="shared" si="50"/>
        <v>0</v>
      </c>
      <c r="K148" s="1010">
        <f t="shared" si="50"/>
        <v>10000</v>
      </c>
      <c r="L148" s="1442">
        <f t="shared" si="50"/>
        <v>0</v>
      </c>
    </row>
    <row r="149" spans="2:12" ht="9.6" customHeight="1" outlineLevel="1" x14ac:dyDescent="0.2">
      <c r="B149" s="905"/>
      <c r="C149" s="905"/>
      <c r="L149" s="881"/>
    </row>
    <row r="150" spans="2:12" ht="9.6" customHeight="1" outlineLevel="1" x14ac:dyDescent="0.2">
      <c r="B150" s="905" t="s">
        <v>1537</v>
      </c>
      <c r="C150" s="905" t="s">
        <v>1442</v>
      </c>
      <c r="L150" s="881"/>
    </row>
    <row r="151" spans="2:12" ht="9.6" customHeight="1" outlineLevel="1" x14ac:dyDescent="0.2">
      <c r="B151" s="1619" t="s">
        <v>1538</v>
      </c>
      <c r="C151" s="1499" t="s">
        <v>1443</v>
      </c>
      <c r="E151" s="913">
        <v>40000</v>
      </c>
      <c r="L151" s="881"/>
    </row>
    <row r="152" spans="2:12" ht="9.6" customHeight="1" outlineLevel="1" x14ac:dyDescent="0.2">
      <c r="B152" s="1619" t="s">
        <v>1539</v>
      </c>
      <c r="C152" s="1499" t="s">
        <v>1444</v>
      </c>
      <c r="E152" s="913">
        <v>30000</v>
      </c>
      <c r="L152" s="881"/>
    </row>
    <row r="153" spans="2:12" ht="9.6" customHeight="1" outlineLevel="1" x14ac:dyDescent="0.2">
      <c r="B153" s="1619" t="s">
        <v>128</v>
      </c>
      <c r="C153" s="1499" t="s">
        <v>10</v>
      </c>
      <c r="E153" s="913">
        <v>5000</v>
      </c>
      <c r="L153" s="881"/>
    </row>
    <row r="154" spans="2:12" ht="9.6" customHeight="1" outlineLevel="1" x14ac:dyDescent="0.2">
      <c r="B154" s="905" t="s">
        <v>1540</v>
      </c>
      <c r="C154" s="905" t="s">
        <v>1445</v>
      </c>
      <c r="E154" s="904">
        <f>SUM(E151:E153)</f>
        <v>75000</v>
      </c>
      <c r="L154" s="881"/>
    </row>
    <row r="155" spans="2:12" ht="9.6" customHeight="1" outlineLevel="1" x14ac:dyDescent="0.2">
      <c r="B155" s="905"/>
      <c r="C155" s="905"/>
      <c r="L155" s="881"/>
    </row>
    <row r="156" spans="2:12" outlineLevel="1" x14ac:dyDescent="0.2">
      <c r="B156" s="905" t="s">
        <v>1023</v>
      </c>
      <c r="C156" s="905" t="s">
        <v>1401</v>
      </c>
      <c r="L156" s="881"/>
    </row>
    <row r="157" spans="2:12" outlineLevel="1" x14ac:dyDescent="0.2">
      <c r="B157" s="1619" t="s">
        <v>1541</v>
      </c>
      <c r="C157" s="1499" t="s">
        <v>107</v>
      </c>
      <c r="H157" s="897"/>
      <c r="L157" s="881"/>
    </row>
    <row r="158" spans="2:12" outlineLevel="1" x14ac:dyDescent="0.2">
      <c r="B158" s="1438" t="s">
        <v>1045</v>
      </c>
      <c r="C158" s="1499" t="s">
        <v>1402</v>
      </c>
      <c r="E158" s="886">
        <v>6</v>
      </c>
      <c r="F158" s="907" t="s">
        <v>1009</v>
      </c>
      <c r="L158" s="881"/>
    </row>
    <row r="159" spans="2:12" outlineLevel="1" x14ac:dyDescent="0.2">
      <c r="B159" s="1438" t="s">
        <v>1028</v>
      </c>
      <c r="C159" s="1499" t="s">
        <v>31</v>
      </c>
      <c r="E159" s="913">
        <f>G142/E158</f>
        <v>833.33333333333337</v>
      </c>
      <c r="F159" s="973" t="s">
        <v>1032</v>
      </c>
      <c r="H159" s="948">
        <f>E159+($H$142/$E$158)</f>
        <v>1666.6666666666667</v>
      </c>
      <c r="I159" s="948">
        <f>H159+($I$142/$E$158)</f>
        <v>3333.3333333333335</v>
      </c>
      <c r="J159" s="948">
        <f>I159</f>
        <v>3333.3333333333335</v>
      </c>
      <c r="K159" s="948">
        <f>J159</f>
        <v>3333.3333333333335</v>
      </c>
      <c r="L159" s="1253">
        <f>K159</f>
        <v>3333.3333333333335</v>
      </c>
    </row>
    <row r="160" spans="2:12" outlineLevel="1" x14ac:dyDescent="0.2">
      <c r="B160" s="905"/>
      <c r="C160" s="905"/>
      <c r="L160" s="881"/>
    </row>
    <row r="161" spans="2:12" outlineLevel="1" x14ac:dyDescent="0.2">
      <c r="B161" s="1619" t="s">
        <v>1097</v>
      </c>
      <c r="C161" s="1499" t="s">
        <v>1398</v>
      </c>
      <c r="L161" s="881"/>
    </row>
    <row r="162" spans="2:12" outlineLevel="1" x14ac:dyDescent="0.2">
      <c r="B162" s="1438" t="s">
        <v>1046</v>
      </c>
      <c r="C162" s="1499" t="s">
        <v>1403</v>
      </c>
      <c r="E162" s="886">
        <v>4</v>
      </c>
      <c r="F162" s="907" t="s">
        <v>1009</v>
      </c>
      <c r="L162" s="881"/>
    </row>
    <row r="163" spans="2:12" outlineLevel="1" x14ac:dyDescent="0.2">
      <c r="B163" s="1438" t="s">
        <v>1028</v>
      </c>
      <c r="C163" s="1499" t="s">
        <v>31</v>
      </c>
      <c r="E163" s="913">
        <f>H143/E162</f>
        <v>0</v>
      </c>
      <c r="F163" s="973" t="s">
        <v>1032</v>
      </c>
      <c r="H163" s="948">
        <v>0</v>
      </c>
      <c r="I163" s="948">
        <f>E163</f>
        <v>0</v>
      </c>
      <c r="J163" s="948">
        <f>I163+(J143/E162)</f>
        <v>0</v>
      </c>
      <c r="K163" s="741">
        <f>J163</f>
        <v>0</v>
      </c>
      <c r="L163" s="881">
        <f>K163</f>
        <v>0</v>
      </c>
    </row>
    <row r="164" spans="2:12" outlineLevel="1" x14ac:dyDescent="0.2">
      <c r="B164" s="1438"/>
      <c r="C164" s="1438"/>
      <c r="F164" s="973"/>
      <c r="H164" s="978"/>
      <c r="I164" s="978"/>
      <c r="J164" s="978"/>
      <c r="L164" s="881"/>
    </row>
    <row r="165" spans="2:12" outlineLevel="1" x14ac:dyDescent="0.2">
      <c r="B165" s="1619" t="s">
        <v>1187</v>
      </c>
      <c r="C165" s="1499" t="s">
        <v>1399</v>
      </c>
      <c r="L165" s="881"/>
    </row>
    <row r="166" spans="2:12" outlineLevel="1" x14ac:dyDescent="0.2">
      <c r="B166" s="1438" t="s">
        <v>1046</v>
      </c>
      <c r="C166" s="1499" t="s">
        <v>1402</v>
      </c>
      <c r="E166" s="886">
        <v>6</v>
      </c>
      <c r="F166" s="907" t="s">
        <v>1009</v>
      </c>
      <c r="L166" s="881"/>
    </row>
    <row r="167" spans="2:12" outlineLevel="1" x14ac:dyDescent="0.2">
      <c r="B167" s="1438" t="s">
        <v>1028</v>
      </c>
      <c r="C167" s="1499" t="s">
        <v>31</v>
      </c>
      <c r="E167" s="913">
        <f>G144/E166</f>
        <v>2500</v>
      </c>
      <c r="F167" s="973" t="s">
        <v>1032</v>
      </c>
      <c r="H167" s="948">
        <f>E167</f>
        <v>2500</v>
      </c>
      <c r="I167" s="948">
        <f>H167+(I144/E166)</f>
        <v>3333.3333333333335</v>
      </c>
      <c r="J167" s="948">
        <f>I167</f>
        <v>3333.3333333333335</v>
      </c>
      <c r="K167" s="948">
        <f>J167</f>
        <v>3333.3333333333335</v>
      </c>
      <c r="L167" s="1253">
        <f>K167</f>
        <v>3333.3333333333335</v>
      </c>
    </row>
    <row r="168" spans="2:12" outlineLevel="1" x14ac:dyDescent="0.2">
      <c r="B168" s="1438"/>
      <c r="C168" s="1438"/>
      <c r="F168" s="973"/>
      <c r="H168" s="978"/>
      <c r="I168" s="978"/>
      <c r="J168" s="978"/>
      <c r="L168" s="881"/>
    </row>
    <row r="169" spans="2:12" outlineLevel="1" x14ac:dyDescent="0.2">
      <c r="B169" s="1619" t="s">
        <v>1176</v>
      </c>
      <c r="C169" s="1499" t="s">
        <v>99</v>
      </c>
      <c r="L169" s="881"/>
    </row>
    <row r="170" spans="2:12" outlineLevel="1" x14ac:dyDescent="0.2">
      <c r="B170" s="1438" t="s">
        <v>1177</v>
      </c>
      <c r="C170" s="1499" t="s">
        <v>1403</v>
      </c>
      <c r="E170" s="886">
        <v>4</v>
      </c>
      <c r="F170" s="907" t="s">
        <v>1009</v>
      </c>
      <c r="L170" s="881"/>
    </row>
    <row r="171" spans="2:12" outlineLevel="1" x14ac:dyDescent="0.2">
      <c r="B171" s="1438" t="s">
        <v>1028</v>
      </c>
      <c r="C171" s="1499" t="s">
        <v>31</v>
      </c>
      <c r="E171" s="913">
        <f>G145/E170</f>
        <v>2500</v>
      </c>
      <c r="F171" s="973" t="s">
        <v>1032</v>
      </c>
      <c r="H171" s="948">
        <f>E171</f>
        <v>2500</v>
      </c>
      <c r="I171" s="948">
        <f>H171</f>
        <v>2500</v>
      </c>
      <c r="J171" s="948">
        <f t="shared" ref="J171" si="51">I171</f>
        <v>2500</v>
      </c>
      <c r="K171" s="948">
        <f>J171+(K145/E170)</f>
        <v>5000</v>
      </c>
      <c r="L171" s="1253">
        <f>K145/E170</f>
        <v>2500</v>
      </c>
    </row>
    <row r="172" spans="2:12" outlineLevel="1" x14ac:dyDescent="0.2">
      <c r="B172" s="1438"/>
      <c r="C172" s="1438"/>
      <c r="F172" s="973"/>
      <c r="H172" s="978"/>
      <c r="I172" s="978"/>
      <c r="J172" s="978"/>
      <c r="L172" s="881"/>
    </row>
    <row r="173" spans="2:12" outlineLevel="1" x14ac:dyDescent="0.2">
      <c r="B173" s="977" t="s">
        <v>1047</v>
      </c>
      <c r="C173" s="977"/>
      <c r="D173" s="877"/>
      <c r="E173" s="877"/>
      <c r="F173" s="877"/>
      <c r="G173" s="877"/>
      <c r="H173" s="949">
        <f>SUM(H159,H163,H167,H171)</f>
        <v>6666.666666666667</v>
      </c>
      <c r="I173" s="949">
        <f>SUM(I159,I163,I167,I171)</f>
        <v>9166.6666666666679</v>
      </c>
      <c r="J173" s="949">
        <f t="shared" ref="J173:L173" si="52">SUM(J159,J163,J167,J171)</f>
        <v>9166.6666666666679</v>
      </c>
      <c r="K173" s="949">
        <f t="shared" si="52"/>
        <v>11666.666666666668</v>
      </c>
      <c r="L173" s="1164">
        <f t="shared" si="52"/>
        <v>9166.6666666666679</v>
      </c>
    </row>
    <row r="174" spans="2:12" outlineLevel="1" x14ac:dyDescent="0.2">
      <c r="B174" s="1177"/>
      <c r="C174" s="1177"/>
      <c r="D174" s="879"/>
      <c r="E174" s="879"/>
      <c r="F174" s="879"/>
      <c r="G174" s="879"/>
      <c r="H174" s="879"/>
      <c r="I174" s="879"/>
      <c r="J174" s="879"/>
      <c r="K174" s="879"/>
      <c r="L174" s="880"/>
    </row>
    <row r="175" spans="2:12" outlineLevel="1" x14ac:dyDescent="0.2">
      <c r="B175" s="1438" t="s">
        <v>1024</v>
      </c>
      <c r="C175" s="1499" t="s">
        <v>1404</v>
      </c>
      <c r="H175" s="948">
        <f>G148</f>
        <v>30000</v>
      </c>
      <c r="I175" s="948">
        <f>H179</f>
        <v>28333.333333333332</v>
      </c>
      <c r="J175" s="948">
        <f t="shared" ref="J175:L175" si="53">I179</f>
        <v>34166.666666666657</v>
      </c>
      <c r="K175" s="948">
        <f t="shared" si="53"/>
        <v>24999.999999999989</v>
      </c>
      <c r="L175" s="1253">
        <f t="shared" si="53"/>
        <v>23333.333333333318</v>
      </c>
    </row>
    <row r="176" spans="2:12" outlineLevel="1" x14ac:dyDescent="0.2">
      <c r="B176" s="1438" t="s">
        <v>1025</v>
      </c>
      <c r="C176" s="1438" t="s">
        <v>1025</v>
      </c>
      <c r="H176" s="948">
        <f>H148</f>
        <v>5000</v>
      </c>
      <c r="I176" s="948">
        <f>I148</f>
        <v>15000</v>
      </c>
      <c r="J176" s="948">
        <f>J148</f>
        <v>0</v>
      </c>
      <c r="K176" s="948">
        <f>K148</f>
        <v>10000</v>
      </c>
      <c r="L176" s="1253">
        <f>L148</f>
        <v>0</v>
      </c>
    </row>
    <row r="177" spans="2:13" outlineLevel="1" x14ac:dyDescent="0.2">
      <c r="B177" s="1438" t="s">
        <v>1048</v>
      </c>
      <c r="C177" s="1499" t="s">
        <v>1406</v>
      </c>
      <c r="H177" s="948">
        <v>0</v>
      </c>
      <c r="I177" s="948">
        <v>0</v>
      </c>
      <c r="J177" s="948">
        <v>0</v>
      </c>
      <c r="K177" s="948">
        <v>0</v>
      </c>
      <c r="L177" s="1253">
        <v>0</v>
      </c>
    </row>
    <row r="178" spans="2:13" outlineLevel="1" x14ac:dyDescent="0.2">
      <c r="B178" s="1439" t="s">
        <v>1049</v>
      </c>
      <c r="C178" s="1500" t="s">
        <v>1407</v>
      </c>
      <c r="D178" s="877"/>
      <c r="E178" s="877"/>
      <c r="F178" s="877"/>
      <c r="G178" s="877"/>
      <c r="H178" s="947">
        <f>-H173</f>
        <v>-6666.666666666667</v>
      </c>
      <c r="I178" s="947">
        <f t="shared" ref="I178:L178" si="54">-I173</f>
        <v>-9166.6666666666679</v>
      </c>
      <c r="J178" s="947">
        <f t="shared" si="54"/>
        <v>-9166.6666666666679</v>
      </c>
      <c r="K178" s="947">
        <f t="shared" si="54"/>
        <v>-11666.666666666668</v>
      </c>
      <c r="L178" s="1443">
        <f t="shared" si="54"/>
        <v>-9166.6666666666679</v>
      </c>
    </row>
    <row r="179" spans="2:13" outlineLevel="1" x14ac:dyDescent="0.2">
      <c r="B179" s="905" t="s">
        <v>1026</v>
      </c>
      <c r="C179" s="905" t="s">
        <v>1405</v>
      </c>
      <c r="H179" s="904">
        <f>SUM(H175:H178)</f>
        <v>28333.333333333332</v>
      </c>
      <c r="I179" s="904">
        <f>SUM(I175:I178)</f>
        <v>34166.666666666657</v>
      </c>
      <c r="J179" s="904">
        <f t="shared" ref="J179:L179" si="55">SUM(J175:J178)</f>
        <v>24999.999999999989</v>
      </c>
      <c r="K179" s="904">
        <f t="shared" si="55"/>
        <v>23333.333333333318</v>
      </c>
      <c r="L179" s="1015">
        <f t="shared" si="55"/>
        <v>14166.66666666665</v>
      </c>
    </row>
    <row r="180" spans="2:13" outlineLevel="1" x14ac:dyDescent="0.2">
      <c r="B180" s="903"/>
      <c r="C180" s="903"/>
      <c r="D180" s="877"/>
      <c r="E180" s="877"/>
      <c r="F180" s="877"/>
      <c r="G180" s="877"/>
      <c r="H180" s="877"/>
      <c r="I180" s="877"/>
      <c r="J180" s="877"/>
      <c r="K180" s="877"/>
      <c r="L180" s="882"/>
    </row>
    <row r="181" spans="2:13" x14ac:dyDescent="0.2"/>
    <row r="182" spans="2:13" ht="19.5" customHeight="1" x14ac:dyDescent="0.2">
      <c r="B182" s="1098" t="s">
        <v>695</v>
      </c>
      <c r="C182" s="1485" t="s">
        <v>764</v>
      </c>
      <c r="D182" s="1095"/>
      <c r="E182" s="1095"/>
      <c r="F182" s="1096"/>
      <c r="G182" s="1097"/>
      <c r="H182" s="1097"/>
      <c r="I182" s="1097"/>
      <c r="J182" s="1097"/>
      <c r="K182" s="1097"/>
      <c r="L182" s="1146"/>
    </row>
    <row r="183" spans="2:13" hidden="1" outlineLevel="1" x14ac:dyDescent="0.2">
      <c r="B183" s="1254" t="s">
        <v>1179</v>
      </c>
      <c r="C183" s="1254"/>
      <c r="D183" s="879"/>
      <c r="E183" s="879"/>
      <c r="F183" s="1255"/>
      <c r="G183" s="1255"/>
      <c r="H183" s="1256">
        <f>H2</f>
        <v>2025</v>
      </c>
      <c r="I183" s="1256">
        <f>I2</f>
        <v>2026</v>
      </c>
      <c r="J183" s="1256">
        <f>J2</f>
        <v>2027</v>
      </c>
      <c r="K183" s="1256">
        <f>K2</f>
        <v>2028</v>
      </c>
      <c r="L183" s="1257">
        <f>L2</f>
        <v>2029</v>
      </c>
      <c r="M183" s="1000"/>
    </row>
    <row r="184" spans="2:13" hidden="1" outlineLevel="1" x14ac:dyDescent="0.2">
      <c r="B184" s="1440" t="s">
        <v>1114</v>
      </c>
      <c r="C184" s="1440"/>
      <c r="E184" s="1109">
        <v>79.494232961090304</v>
      </c>
      <c r="F184" s="1000"/>
      <c r="G184" s="1000"/>
      <c r="H184" s="1000"/>
      <c r="I184" s="1000"/>
      <c r="J184" s="1000"/>
      <c r="K184" s="1000"/>
      <c r="L184" s="1258"/>
      <c r="M184" s="1000"/>
    </row>
    <row r="185" spans="2:13" hidden="1" outlineLevel="1" x14ac:dyDescent="0.2">
      <c r="B185" s="1440" t="s">
        <v>116</v>
      </c>
      <c r="C185" s="1440"/>
      <c r="E185" s="929">
        <v>0</v>
      </c>
      <c r="F185" s="1000"/>
      <c r="G185" s="1000"/>
      <c r="H185" s="948"/>
      <c r="I185" s="948"/>
      <c r="J185" s="948"/>
      <c r="K185" s="948"/>
      <c r="L185" s="1253"/>
      <c r="M185" s="1000"/>
    </row>
    <row r="186" spans="2:13" hidden="1" outlineLevel="1" x14ac:dyDescent="0.2">
      <c r="B186" s="1440" t="s">
        <v>1180</v>
      </c>
      <c r="C186" s="1440"/>
      <c r="E186" s="889">
        <v>1.9E-2</v>
      </c>
      <c r="F186" s="1000"/>
      <c r="G186" s="1000"/>
      <c r="H186" s="1000"/>
      <c r="I186" s="1000"/>
      <c r="J186" s="1000"/>
      <c r="K186" s="1000"/>
      <c r="L186" s="1258"/>
      <c r="M186" s="1000"/>
    </row>
    <row r="187" spans="2:13" hidden="1" outlineLevel="1" x14ac:dyDescent="0.2">
      <c r="B187" s="937"/>
      <c r="C187" s="937"/>
      <c r="E187" s="934"/>
      <c r="F187" s="1000"/>
      <c r="G187" s="1000"/>
      <c r="H187" s="1000"/>
      <c r="I187" s="1000"/>
      <c r="J187" s="1000"/>
      <c r="K187" s="1000"/>
      <c r="L187" s="1258"/>
      <c r="M187" s="1000"/>
    </row>
    <row r="188" spans="2:13" hidden="1" outlineLevel="1" x14ac:dyDescent="0.2">
      <c r="B188" s="937"/>
      <c r="C188" s="937"/>
      <c r="E188" s="934"/>
      <c r="F188" s="1000"/>
      <c r="G188" s="1000"/>
      <c r="H188" s="1000"/>
      <c r="I188" s="1000"/>
      <c r="J188" s="1000"/>
      <c r="K188" s="1000"/>
      <c r="L188" s="1258"/>
      <c r="M188" s="1000"/>
    </row>
    <row r="189" spans="2:13" hidden="1" outlineLevel="1" x14ac:dyDescent="0.2">
      <c r="B189" s="1440" t="s">
        <v>655</v>
      </c>
      <c r="C189" s="1440"/>
      <c r="E189" s="1109">
        <v>88.06420012931649</v>
      </c>
      <c r="F189" s="1000"/>
      <c r="G189" s="1000"/>
      <c r="H189" s="1000"/>
      <c r="I189" s="1000"/>
      <c r="J189" s="1000"/>
      <c r="K189" s="1000"/>
      <c r="L189" s="1258"/>
      <c r="M189" s="1000"/>
    </row>
    <row r="190" spans="2:13" hidden="1" outlineLevel="1" x14ac:dyDescent="0.2">
      <c r="B190" s="1440" t="s">
        <v>1181</v>
      </c>
      <c r="C190" s="1440"/>
      <c r="E190" s="889">
        <v>0</v>
      </c>
      <c r="F190" s="1000"/>
      <c r="G190" s="1000"/>
      <c r="H190" s="948"/>
      <c r="I190" s="948"/>
      <c r="J190" s="948"/>
      <c r="K190" s="948"/>
      <c r="L190" s="1253"/>
      <c r="M190" s="1000"/>
    </row>
    <row r="191" spans="2:13" hidden="1" outlineLevel="1" x14ac:dyDescent="0.2">
      <c r="B191" s="1440" t="s">
        <v>1184</v>
      </c>
      <c r="C191" s="1440"/>
      <c r="E191" s="889">
        <v>0</v>
      </c>
      <c r="F191" s="1000"/>
      <c r="G191" s="1000"/>
      <c r="H191" s="948"/>
      <c r="I191" s="948"/>
      <c r="J191" s="948"/>
      <c r="K191" s="948"/>
      <c r="L191" s="1253"/>
      <c r="M191" s="1000"/>
    </row>
    <row r="192" spans="2:13" hidden="1" outlineLevel="1" x14ac:dyDescent="0.2">
      <c r="B192" s="1440" t="s">
        <v>1115</v>
      </c>
      <c r="C192" s="1440"/>
      <c r="E192" s="889">
        <v>6.5000000000000002E-2</v>
      </c>
      <c r="F192" s="1000"/>
      <c r="G192" s="1000"/>
      <c r="H192" s="1000"/>
      <c r="I192" s="1000"/>
      <c r="J192" s="1000"/>
      <c r="K192" s="1000"/>
      <c r="L192" s="1258"/>
      <c r="M192" s="1000"/>
    </row>
    <row r="193" spans="2:13" hidden="1" outlineLevel="1" x14ac:dyDescent="0.2">
      <c r="B193" s="1440"/>
      <c r="C193" s="1440"/>
      <c r="E193" s="934"/>
      <c r="F193" s="1000"/>
      <c r="G193" s="1000"/>
      <c r="H193" s="1000"/>
      <c r="I193" s="1000"/>
      <c r="J193" s="1000"/>
      <c r="K193" s="1000"/>
      <c r="L193" s="1258"/>
      <c r="M193" s="1000"/>
    </row>
    <row r="194" spans="2:13" hidden="1" outlineLevel="1" x14ac:dyDescent="0.2">
      <c r="B194" s="937"/>
      <c r="C194" s="937"/>
      <c r="E194" s="934"/>
      <c r="F194" s="1000"/>
      <c r="G194" s="1000"/>
      <c r="H194" s="1000"/>
      <c r="I194" s="1000"/>
      <c r="J194" s="1000"/>
      <c r="K194" s="1000"/>
      <c r="L194" s="1258"/>
      <c r="M194" s="1000"/>
    </row>
    <row r="195" spans="2:13" hidden="1" outlineLevel="1" x14ac:dyDescent="0.2">
      <c r="B195" s="944" t="s">
        <v>1116</v>
      </c>
      <c r="C195" s="944"/>
      <c r="E195" s="934"/>
      <c r="F195" s="1000"/>
      <c r="G195" s="1000"/>
      <c r="H195" s="1259"/>
      <c r="I195" s="1259"/>
      <c r="J195" s="1259"/>
      <c r="K195" s="1259"/>
      <c r="L195" s="1260"/>
      <c r="M195" s="1000"/>
    </row>
    <row r="196" spans="2:13" hidden="1" outlineLevel="1" x14ac:dyDescent="0.2">
      <c r="B196" s="937"/>
      <c r="C196" s="937"/>
      <c r="E196" s="934"/>
      <c r="F196" s="1000"/>
      <c r="G196" s="1000"/>
      <c r="H196" s="1000"/>
      <c r="I196" s="1000"/>
      <c r="J196" s="1000"/>
      <c r="K196" s="1000"/>
      <c r="L196" s="1258"/>
      <c r="M196" s="1000"/>
    </row>
    <row r="197" spans="2:13" hidden="1" outlineLevel="1" x14ac:dyDescent="0.2">
      <c r="B197" s="944" t="s">
        <v>1117</v>
      </c>
      <c r="C197" s="944"/>
      <c r="E197" s="934"/>
      <c r="F197" s="1000"/>
      <c r="G197" s="1000"/>
      <c r="H197" s="1259"/>
      <c r="I197" s="1259"/>
      <c r="J197" s="1259"/>
      <c r="K197" s="1259"/>
      <c r="L197" s="1260"/>
      <c r="M197" s="1000"/>
    </row>
    <row r="198" spans="2:13" ht="12" hidden="1" outlineLevel="1" thickBot="1" x14ac:dyDescent="0.25">
      <c r="B198" s="1261"/>
      <c r="C198" s="1261"/>
      <c r="D198" s="1262"/>
      <c r="E198" s="1262"/>
      <c r="F198" s="1262"/>
      <c r="G198" s="1262"/>
      <c r="H198" s="1262"/>
      <c r="I198" s="1262"/>
      <c r="J198" s="1262"/>
      <c r="K198" s="1262"/>
      <c r="L198" s="1263"/>
      <c r="M198" s="1000"/>
    </row>
    <row r="199" spans="2:13" collapsed="1" x14ac:dyDescent="0.2">
      <c r="B199" s="1000"/>
      <c r="C199" s="1000"/>
      <c r="D199" s="1000"/>
      <c r="E199" s="1000"/>
      <c r="F199" s="1000"/>
      <c r="G199" s="1000"/>
      <c r="H199" s="1000"/>
      <c r="I199" s="1000"/>
      <c r="J199" s="1000"/>
      <c r="K199" s="1000"/>
      <c r="L199" s="1000"/>
      <c r="M199" s="1000"/>
    </row>
    <row r="200" spans="2:13" ht="19.5" customHeight="1" x14ac:dyDescent="0.2">
      <c r="B200" s="1098" t="s">
        <v>1106</v>
      </c>
      <c r="C200" s="1485" t="s">
        <v>1426</v>
      </c>
      <c r="D200" s="1097"/>
      <c r="E200" s="1097"/>
      <c r="F200" s="1097"/>
      <c r="G200" s="1097"/>
      <c r="H200" s="1097"/>
      <c r="I200" s="1097"/>
      <c r="J200" s="1097"/>
      <c r="K200" s="1097"/>
      <c r="L200" s="1097"/>
      <c r="M200" s="1000"/>
    </row>
    <row r="201" spans="2:13" outlineLevel="1" x14ac:dyDescent="0.2">
      <c r="B201" s="1254" t="s">
        <v>1106</v>
      </c>
      <c r="C201" s="1254" t="s">
        <v>1426</v>
      </c>
      <c r="D201" s="1000"/>
      <c r="E201" s="1000"/>
      <c r="F201" s="1000"/>
      <c r="G201" s="1000"/>
      <c r="H201" s="1256">
        <f>H183</f>
        <v>2025</v>
      </c>
      <c r="I201" s="1256">
        <f t="shared" ref="I201:L201" si="56">I183</f>
        <v>2026</v>
      </c>
      <c r="J201" s="1256">
        <f t="shared" si="56"/>
        <v>2027</v>
      </c>
      <c r="K201" s="1256">
        <f t="shared" si="56"/>
        <v>2028</v>
      </c>
      <c r="L201" s="1257">
        <f t="shared" si="56"/>
        <v>2029</v>
      </c>
      <c r="M201" s="1000"/>
    </row>
    <row r="202" spans="2:13" outlineLevel="1" x14ac:dyDescent="0.2">
      <c r="B202" s="1181"/>
      <c r="C202" s="1181"/>
      <c r="D202" s="1000"/>
      <c r="E202" s="1000"/>
      <c r="F202" s="1000"/>
      <c r="G202" s="1000"/>
      <c r="H202" s="1459"/>
      <c r="I202" s="1459"/>
      <c r="J202" s="1459"/>
      <c r="K202" s="1459"/>
      <c r="L202" s="1460"/>
      <c r="M202" s="1000"/>
    </row>
    <row r="203" spans="2:13" outlineLevel="1" x14ac:dyDescent="0.2">
      <c r="B203" s="1623" t="s">
        <v>744</v>
      </c>
      <c r="C203" s="1511" t="s">
        <v>150</v>
      </c>
      <c r="E203" s="1000"/>
      <c r="F203" s="1000"/>
      <c r="G203" s="1000"/>
      <c r="H203" s="948">
        <v>0</v>
      </c>
      <c r="I203" s="948">
        <v>0</v>
      </c>
      <c r="J203" s="948">
        <v>0</v>
      </c>
      <c r="K203" s="948">
        <v>0</v>
      </c>
      <c r="L203" s="1253">
        <v>0</v>
      </c>
      <c r="M203" s="1000"/>
    </row>
    <row r="204" spans="2:13" outlineLevel="1" x14ac:dyDescent="0.2">
      <c r="B204" s="1624" t="s">
        <v>1542</v>
      </c>
      <c r="C204" s="1512" t="s">
        <v>1427</v>
      </c>
      <c r="D204" s="877"/>
      <c r="E204" s="1295"/>
      <c r="F204" s="1295"/>
      <c r="G204" s="1295"/>
      <c r="H204" s="947">
        <v>0</v>
      </c>
      <c r="I204" s="947">
        <v>0</v>
      </c>
      <c r="J204" s="947">
        <v>0</v>
      </c>
      <c r="K204" s="947">
        <v>0</v>
      </c>
      <c r="L204" s="1443">
        <v>0</v>
      </c>
      <c r="M204" s="1000"/>
    </row>
    <row r="205" spans="2:13" outlineLevel="1" x14ac:dyDescent="0.2">
      <c r="B205" s="1461" t="s">
        <v>1292</v>
      </c>
      <c r="C205" s="1461" t="s">
        <v>1428</v>
      </c>
      <c r="D205" s="1000"/>
      <c r="E205" s="1000"/>
      <c r="F205" s="1000"/>
      <c r="G205" s="1000"/>
      <c r="H205" s="1010">
        <f>SUM(H203:H204)</f>
        <v>0</v>
      </c>
      <c r="I205" s="1010">
        <f t="shared" ref="I205:L205" si="57">SUM(I203:I204)</f>
        <v>0</v>
      </c>
      <c r="J205" s="1010">
        <f t="shared" si="57"/>
        <v>0</v>
      </c>
      <c r="K205" s="1010">
        <f t="shared" si="57"/>
        <v>0</v>
      </c>
      <c r="L205" s="1186">
        <f t="shared" si="57"/>
        <v>0</v>
      </c>
      <c r="M205" s="1000"/>
    </row>
    <row r="206" spans="2:13" outlineLevel="1" x14ac:dyDescent="0.2">
      <c r="B206" s="1294"/>
      <c r="C206" s="1294"/>
      <c r="D206" s="1295"/>
      <c r="E206" s="1295"/>
      <c r="F206" s="1295"/>
      <c r="G206" s="1295"/>
      <c r="H206" s="1295"/>
      <c r="I206" s="1295"/>
      <c r="J206" s="1295"/>
      <c r="K206" s="1295"/>
      <c r="L206" s="1296"/>
      <c r="M206" s="1000"/>
    </row>
    <row r="207" spans="2:13" x14ac:dyDescent="0.2">
      <c r="B207" s="1000"/>
      <c r="C207" s="1000"/>
      <c r="D207" s="1000"/>
      <c r="E207" s="1000"/>
      <c r="F207" s="1000"/>
      <c r="G207" s="1000"/>
      <c r="H207" s="1000"/>
      <c r="I207" s="1000"/>
      <c r="J207" s="1000"/>
      <c r="K207" s="1000"/>
      <c r="L207" s="1000"/>
      <c r="M207" s="1000"/>
    </row>
    <row r="208" spans="2:13" x14ac:dyDescent="0.2">
      <c r="B208" s="1000"/>
      <c r="C208" s="1000"/>
      <c r="D208" s="1000"/>
      <c r="E208" s="1000"/>
      <c r="F208" s="1000"/>
      <c r="G208" s="1000"/>
      <c r="H208" s="1000"/>
      <c r="I208" s="1000"/>
      <c r="J208" s="1000"/>
      <c r="K208" s="1000"/>
      <c r="L208" s="1000"/>
      <c r="M208" s="1000"/>
    </row>
    <row r="209" spans="2:13" x14ac:dyDescent="0.2">
      <c r="B209" s="1000"/>
      <c r="C209" s="1000"/>
      <c r="D209" s="1000"/>
      <c r="E209" s="1000"/>
      <c r="F209" s="1000"/>
      <c r="G209" s="1000"/>
      <c r="H209" s="1000"/>
      <c r="I209" s="1000"/>
      <c r="J209" s="1000"/>
      <c r="K209" s="1000"/>
      <c r="L209" s="1000"/>
      <c r="M209" s="1000"/>
    </row>
    <row r="210" spans="2:13" x14ac:dyDescent="0.2">
      <c r="B210" s="1000"/>
      <c r="C210" s="1000"/>
      <c r="D210" s="1000"/>
      <c r="E210" s="1000"/>
      <c r="F210" s="1000"/>
      <c r="G210" s="1000"/>
      <c r="H210" s="1000"/>
      <c r="I210" s="1000"/>
      <c r="J210" s="1000"/>
      <c r="K210" s="1000"/>
      <c r="L210" s="1000"/>
      <c r="M210" s="1000"/>
    </row>
    <row r="211" spans="2:13" x14ac:dyDescent="0.2"/>
    <row r="212" spans="2:13" x14ac:dyDescent="0.2"/>
    <row r="213" spans="2:13" x14ac:dyDescent="0.2"/>
    <row r="214" spans="2:13" x14ac:dyDescent="0.2"/>
    <row r="215" spans="2:13" x14ac:dyDescent="0.2"/>
    <row r="216" spans="2:13" x14ac:dyDescent="0.2"/>
    <row r="217" spans="2:13" x14ac:dyDescent="0.2"/>
    <row r="218" spans="2:13" x14ac:dyDescent="0.2"/>
    <row r="219" spans="2:13" x14ac:dyDescent="0.2"/>
    <row r="220" spans="2:13" x14ac:dyDescent="0.2"/>
    <row r="221" spans="2:13" x14ac:dyDescent="0.2"/>
    <row r="222" spans="2:13" x14ac:dyDescent="0.2"/>
    <row r="223" spans="2:13" x14ac:dyDescent="0.2"/>
    <row r="224" spans="2:13" x14ac:dyDescent="0.2"/>
    <row r="225" x14ac:dyDescent="0.2"/>
    <row r="226" x14ac:dyDescent="0.2"/>
    <row r="227" x14ac:dyDescent="0.2"/>
    <row r="228" x14ac:dyDescent="0.2"/>
    <row r="229" x14ac:dyDescent="0.2"/>
    <row r="230" x14ac:dyDescent="0.2"/>
    <row r="231" x14ac:dyDescent="0.2"/>
    <row r="232" x14ac:dyDescent="0.2"/>
    <row r="233" x14ac:dyDescent="0.2"/>
    <row r="234" x14ac:dyDescent="0.2"/>
    <row r="235" x14ac:dyDescent="0.2"/>
    <row r="236" x14ac:dyDescent="0.2"/>
    <row r="237" x14ac:dyDescent="0.2"/>
    <row r="238" x14ac:dyDescent="0.2"/>
    <row r="239" x14ac:dyDescent="0.2"/>
    <row r="240" x14ac:dyDescent="0.2"/>
    <row r="241" x14ac:dyDescent="0.2"/>
    <row r="242" x14ac:dyDescent="0.2"/>
    <row r="243" x14ac:dyDescent="0.2"/>
    <row r="244" x14ac:dyDescent="0.2"/>
    <row r="245" x14ac:dyDescent="0.2"/>
    <row r="246" x14ac:dyDescent="0.2"/>
    <row r="247" x14ac:dyDescent="0.2"/>
    <row r="248" x14ac:dyDescent="0.2"/>
    <row r="249" x14ac:dyDescent="0.2"/>
    <row r="250" x14ac:dyDescent="0.2"/>
    <row r="251" x14ac:dyDescent="0.2"/>
    <row r="252" x14ac:dyDescent="0.2"/>
  </sheetData>
  <hyperlinks>
    <hyperlink ref="C22" r:id="rId1" xr:uid="{DD56E3AC-D3A4-49D9-9B72-F725609FD804}"/>
  </hyperlinks>
  <pageMargins left="0.7" right="0.7" top="0.75" bottom="0.75" header="0.3" footer="0.3"/>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153B5-821E-4CDB-882B-EE0A2BB55A70}">
  <sheetPr>
    <tabColor rgb="FF0000FF"/>
  </sheetPr>
  <dimension ref="A1:W53"/>
  <sheetViews>
    <sheetView showGridLines="0" workbookViewId="0">
      <selection activeCell="F46" sqref="F46"/>
    </sheetView>
  </sheetViews>
  <sheetFormatPr defaultColWidth="0" defaultRowHeight="11.25" zeroHeight="1" outlineLevelCol="1" x14ac:dyDescent="0.2"/>
  <cols>
    <col min="1" max="1" width="4.7109375" style="741" customWidth="1"/>
    <col min="2" max="2" width="29.85546875" style="741" hidden="1" customWidth="1"/>
    <col min="3" max="3" width="22.140625" style="741" customWidth="1"/>
    <col min="4" max="4" width="8.85546875" style="741" customWidth="1"/>
    <col min="5" max="5" width="9.28515625" style="741" bestFit="1" customWidth="1"/>
    <col min="6" max="6" width="8.85546875" style="741" customWidth="1"/>
    <col min="7" max="10" width="8.85546875" style="741" customWidth="1" outlineLevel="1"/>
    <col min="11" max="11" width="9.28515625" style="741" bestFit="1" customWidth="1"/>
    <col min="12" max="15" width="8.85546875" style="741" customWidth="1" outlineLevel="1"/>
    <col min="16" max="16" width="8.85546875" style="741" customWidth="1"/>
    <col min="17" max="20" width="8.85546875" style="741" customWidth="1" outlineLevel="1"/>
    <col min="21" max="21" width="8.7109375" style="741" customWidth="1"/>
    <col min="22" max="23" width="4.7109375" style="741" customWidth="1"/>
    <col min="24" max="16384" width="8.85546875" style="741" hidden="1"/>
  </cols>
  <sheetData>
    <row r="1" spans="1:23" x14ac:dyDescent="0.2">
      <c r="A1" s="1309"/>
      <c r="B1" s="1309"/>
      <c r="C1" s="1309"/>
      <c r="D1" s="1309"/>
      <c r="E1" s="1309"/>
      <c r="F1" s="1309"/>
      <c r="G1" s="1309"/>
      <c r="H1" s="1309"/>
      <c r="I1" s="1309"/>
      <c r="J1" s="1309"/>
      <c r="K1" s="1309"/>
      <c r="L1" s="1309"/>
      <c r="M1" s="1309"/>
      <c r="N1" s="1309"/>
      <c r="O1" s="1309"/>
      <c r="P1" s="1309"/>
      <c r="Q1" s="1309"/>
      <c r="R1" s="1309"/>
      <c r="S1" s="1309"/>
      <c r="T1" s="1309"/>
      <c r="U1" s="1309"/>
      <c r="V1" s="1309"/>
      <c r="W1" s="1309"/>
    </row>
    <row r="2" spans="1:23" ht="12.75" x14ac:dyDescent="0.2">
      <c r="A2" s="1309"/>
      <c r="B2" s="1309"/>
      <c r="C2" s="1310" t="s">
        <v>1446</v>
      </c>
      <c r="D2" s="1309"/>
      <c r="E2" s="1309"/>
      <c r="F2" s="1309"/>
      <c r="G2" s="1524">
        <v>1</v>
      </c>
      <c r="H2" s="1524">
        <v>2</v>
      </c>
      <c r="I2" s="1524">
        <v>3</v>
      </c>
      <c r="J2" s="1524">
        <v>4</v>
      </c>
      <c r="K2" s="1523">
        <f>Assumptions!E14</f>
        <v>2025</v>
      </c>
      <c r="L2" s="1524">
        <v>1</v>
      </c>
      <c r="M2" s="1524">
        <v>2</v>
      </c>
      <c r="N2" s="1524">
        <v>3</v>
      </c>
      <c r="O2" s="1524">
        <v>4</v>
      </c>
      <c r="P2" s="1523">
        <f>K2+1</f>
        <v>2026</v>
      </c>
      <c r="Q2" s="1524">
        <v>1</v>
      </c>
      <c r="R2" s="1524">
        <v>2</v>
      </c>
      <c r="S2" s="1524">
        <v>3</v>
      </c>
      <c r="T2" s="1524">
        <v>4</v>
      </c>
      <c r="U2" s="1523">
        <f>P2+1</f>
        <v>2027</v>
      </c>
      <c r="V2" s="1309"/>
      <c r="W2" s="1309"/>
    </row>
    <row r="3" spans="1:23" x14ac:dyDescent="0.2"/>
    <row r="4" spans="1:23" x14ac:dyDescent="0.2"/>
    <row r="5" spans="1:23" ht="19.5" customHeight="1" x14ac:dyDescent="0.2">
      <c r="B5" s="160" t="s">
        <v>1543</v>
      </c>
      <c r="C5" s="160" t="s">
        <v>1447</v>
      </c>
      <c r="D5" s="160"/>
      <c r="E5" s="160"/>
      <c r="F5" s="160"/>
      <c r="G5" s="160"/>
      <c r="H5" s="160"/>
      <c r="I5" s="160"/>
      <c r="J5" s="160"/>
      <c r="K5" s="160"/>
      <c r="L5" s="994"/>
      <c r="M5" s="994"/>
      <c r="N5" s="994"/>
      <c r="O5" s="994"/>
      <c r="P5" s="994"/>
      <c r="Q5" s="994"/>
      <c r="R5" s="994"/>
      <c r="S5" s="994"/>
      <c r="T5" s="994"/>
      <c r="U5" s="994"/>
    </row>
    <row r="6" spans="1:23" x14ac:dyDescent="0.2">
      <c r="B6" s="1528" t="s">
        <v>1447</v>
      </c>
      <c r="C6" s="1528" t="s">
        <v>1447</v>
      </c>
      <c r="D6" s="877"/>
      <c r="E6" s="877"/>
      <c r="F6" s="877"/>
      <c r="G6" s="1538">
        <v>1</v>
      </c>
      <c r="H6" s="1525">
        <f>G6+1</f>
        <v>2</v>
      </c>
      <c r="I6" s="1525">
        <f t="shared" ref="I6:J6" si="0">H6+1</f>
        <v>3</v>
      </c>
      <c r="J6" s="1544">
        <f t="shared" si="0"/>
        <v>4</v>
      </c>
      <c r="K6" s="1549">
        <f>K2</f>
        <v>2025</v>
      </c>
      <c r="L6" s="1525">
        <v>1</v>
      </c>
      <c r="M6" s="1525">
        <f>L6+1</f>
        <v>2</v>
      </c>
      <c r="N6" s="1525">
        <f t="shared" ref="N6:O6" si="1">M6+1</f>
        <v>3</v>
      </c>
      <c r="O6" s="1544">
        <f t="shared" si="1"/>
        <v>4</v>
      </c>
      <c r="P6" s="1549">
        <f>P2</f>
        <v>2026</v>
      </c>
      <c r="Q6" s="1525">
        <v>1</v>
      </c>
      <c r="R6" s="1525">
        <f>Q6+1</f>
        <v>2</v>
      </c>
      <c r="S6" s="1525">
        <f t="shared" ref="S6:T6" si="2">R6+1</f>
        <v>3</v>
      </c>
      <c r="T6" s="1544">
        <f t="shared" si="2"/>
        <v>4</v>
      </c>
      <c r="U6" s="1441">
        <f>U2</f>
        <v>2027</v>
      </c>
    </row>
    <row r="7" spans="1:23" x14ac:dyDescent="0.2">
      <c r="B7" s="1177"/>
      <c r="C7" s="1177"/>
      <c r="G7" s="899"/>
      <c r="J7" s="881"/>
      <c r="K7" s="1554"/>
      <c r="O7" s="881"/>
      <c r="P7" s="1554"/>
      <c r="T7" s="881"/>
      <c r="U7" s="881"/>
    </row>
    <row r="8" spans="1:23" x14ac:dyDescent="0.2">
      <c r="B8" s="899" t="s">
        <v>1544</v>
      </c>
      <c r="C8" s="899" t="s">
        <v>1455</v>
      </c>
      <c r="F8" s="1086" t="s">
        <v>1062</v>
      </c>
      <c r="G8" s="1539">
        <v>0.1</v>
      </c>
      <c r="H8" s="1526">
        <v>0.3</v>
      </c>
      <c r="I8" s="1526">
        <v>0.3</v>
      </c>
      <c r="J8" s="1210">
        <v>0.3</v>
      </c>
      <c r="K8" s="1555">
        <f>SUM(G8:J8)</f>
        <v>1</v>
      </c>
      <c r="L8" s="1526">
        <v>0.4</v>
      </c>
      <c r="M8" s="1526">
        <v>0.15</v>
      </c>
      <c r="N8" s="1526">
        <v>0.35</v>
      </c>
      <c r="O8" s="1210">
        <v>0.1</v>
      </c>
      <c r="P8" s="1555">
        <f>SUM(L8:O8)</f>
        <v>1</v>
      </c>
      <c r="Q8" s="1526">
        <v>0.4</v>
      </c>
      <c r="R8" s="1526">
        <v>0.15</v>
      </c>
      <c r="S8" s="1526">
        <v>0.3</v>
      </c>
      <c r="T8" s="1210">
        <v>0.15</v>
      </c>
      <c r="U8" s="1012">
        <f>SUM(Q8:T8)</f>
        <v>1</v>
      </c>
    </row>
    <row r="9" spans="1:23" x14ac:dyDescent="0.2">
      <c r="B9" s="1621" t="s">
        <v>79</v>
      </c>
      <c r="C9" s="1527" t="s">
        <v>31</v>
      </c>
      <c r="D9" s="1436"/>
      <c r="E9" s="889"/>
      <c r="F9" s="1086" t="s">
        <v>1062</v>
      </c>
      <c r="G9" s="1539">
        <v>0.25</v>
      </c>
      <c r="H9" s="1526">
        <v>0.25</v>
      </c>
      <c r="I9" s="1526">
        <v>0.25</v>
      </c>
      <c r="J9" s="1210">
        <v>0.25</v>
      </c>
      <c r="K9" s="1555">
        <f>SUM(G9:J9)</f>
        <v>1</v>
      </c>
      <c r="L9" s="1526">
        <v>0.25</v>
      </c>
      <c r="M9" s="1526">
        <v>0.25</v>
      </c>
      <c r="N9" s="1526">
        <v>0.25</v>
      </c>
      <c r="O9" s="1210">
        <v>0.25</v>
      </c>
      <c r="P9" s="1555">
        <f>SUM(L9:O9)</f>
        <v>1</v>
      </c>
      <c r="Q9" s="1526">
        <v>0.25</v>
      </c>
      <c r="R9" s="1526">
        <v>0.25</v>
      </c>
      <c r="S9" s="1526">
        <v>0.25</v>
      </c>
      <c r="T9" s="1210">
        <v>0.25</v>
      </c>
      <c r="U9" s="1012">
        <f>SUM(Q9:T9)</f>
        <v>1</v>
      </c>
    </row>
    <row r="10" spans="1:23" x14ac:dyDescent="0.2">
      <c r="B10" s="899"/>
      <c r="C10" s="899"/>
      <c r="G10" s="899"/>
      <c r="J10" s="881"/>
      <c r="K10" s="1554"/>
      <c r="O10" s="881"/>
      <c r="P10" s="1554"/>
      <c r="T10" s="881"/>
      <c r="U10" s="881"/>
    </row>
    <row r="11" spans="1:23" x14ac:dyDescent="0.2">
      <c r="B11" s="899" t="s">
        <v>1545</v>
      </c>
      <c r="C11" s="899" t="s">
        <v>1449</v>
      </c>
      <c r="E11" s="741" t="s">
        <v>1450</v>
      </c>
      <c r="F11" s="1086" t="s">
        <v>1062</v>
      </c>
      <c r="G11" s="1539">
        <v>0.25</v>
      </c>
      <c r="H11" s="1526">
        <v>0.25</v>
      </c>
      <c r="I11" s="1526">
        <v>0.25</v>
      </c>
      <c r="J11" s="1210">
        <v>0.25</v>
      </c>
      <c r="K11" s="1555">
        <f>SUM(G11:J11)</f>
        <v>1</v>
      </c>
      <c r="L11" s="1526">
        <v>0.25</v>
      </c>
      <c r="M11" s="1526">
        <v>0.25</v>
      </c>
      <c r="N11" s="1526">
        <v>0.25</v>
      </c>
      <c r="O11" s="1210">
        <v>0.25</v>
      </c>
      <c r="P11" s="1555">
        <f>SUM(L11:O11)</f>
        <v>1</v>
      </c>
      <c r="Q11" s="1526">
        <v>0.25</v>
      </c>
      <c r="R11" s="1526">
        <v>0.25</v>
      </c>
      <c r="S11" s="1526">
        <v>0.25</v>
      </c>
      <c r="T11" s="1210">
        <v>0.25</v>
      </c>
      <c r="U11" s="1012">
        <f>SUM(Q11:T11)</f>
        <v>1</v>
      </c>
    </row>
    <row r="12" spans="1:23" x14ac:dyDescent="0.2">
      <c r="B12" s="899" t="s">
        <v>1546</v>
      </c>
      <c r="C12" s="899" t="s">
        <v>1451</v>
      </c>
      <c r="F12" s="1086" t="s">
        <v>1062</v>
      </c>
      <c r="G12" s="1539">
        <v>0</v>
      </c>
      <c r="H12" s="1526">
        <v>0</v>
      </c>
      <c r="I12" s="1526">
        <v>0.5</v>
      </c>
      <c r="J12" s="1210">
        <v>0.5</v>
      </c>
      <c r="K12" s="1555">
        <f>SUM(G12:J12)</f>
        <v>1</v>
      </c>
      <c r="L12" s="1526">
        <v>0.1</v>
      </c>
      <c r="M12" s="1526">
        <v>0.2</v>
      </c>
      <c r="N12" s="1526">
        <v>0.2</v>
      </c>
      <c r="O12" s="1210">
        <v>0.5</v>
      </c>
      <c r="P12" s="1555">
        <f>SUM(L12:O12)</f>
        <v>1</v>
      </c>
      <c r="Q12" s="1526">
        <v>0.15</v>
      </c>
      <c r="R12" s="1526">
        <v>0.2</v>
      </c>
      <c r="S12" s="1526">
        <v>0.2</v>
      </c>
      <c r="T12" s="1210">
        <v>0.45</v>
      </c>
      <c r="U12" s="1012">
        <f>SUM(Q12:T12)</f>
        <v>1</v>
      </c>
    </row>
    <row r="13" spans="1:23" x14ac:dyDescent="0.2">
      <c r="B13" s="899" t="s">
        <v>1547</v>
      </c>
      <c r="C13" s="899" t="s">
        <v>831</v>
      </c>
      <c r="F13" s="1086" t="s">
        <v>1062</v>
      </c>
      <c r="G13" s="1539">
        <v>0.1</v>
      </c>
      <c r="H13" s="1526">
        <v>0.3</v>
      </c>
      <c r="I13" s="1526">
        <v>0.3</v>
      </c>
      <c r="J13" s="1210">
        <v>0.3</v>
      </c>
      <c r="K13" s="1555">
        <f>SUM(G13:J13)</f>
        <v>1</v>
      </c>
      <c r="L13" s="1526">
        <v>0.25</v>
      </c>
      <c r="M13" s="1526">
        <v>0.25</v>
      </c>
      <c r="N13" s="1526">
        <v>0.25</v>
      </c>
      <c r="O13" s="1210">
        <v>0.25</v>
      </c>
      <c r="P13" s="1555">
        <f>SUM(L13:O13)</f>
        <v>1</v>
      </c>
      <c r="Q13" s="1526">
        <v>0.25</v>
      </c>
      <c r="R13" s="1526">
        <v>0.25</v>
      </c>
      <c r="S13" s="1526">
        <v>0.25</v>
      </c>
      <c r="T13" s="1210">
        <v>0.25</v>
      </c>
      <c r="U13" s="1012">
        <f>SUM(Q13:T13)</f>
        <v>1</v>
      </c>
    </row>
    <row r="14" spans="1:23" x14ac:dyDescent="0.2">
      <c r="B14" s="434" t="s">
        <v>1206</v>
      </c>
      <c r="C14" s="741" t="s">
        <v>1454</v>
      </c>
      <c r="F14" s="1086" t="s">
        <v>1062</v>
      </c>
      <c r="G14" s="1539">
        <v>0.25</v>
      </c>
      <c r="H14" s="1526">
        <v>0.25</v>
      </c>
      <c r="I14" s="1526">
        <v>0.25</v>
      </c>
      <c r="J14" s="1210">
        <v>0.25</v>
      </c>
      <c r="K14" s="1555">
        <f>SUM(G14:J14)</f>
        <v>1</v>
      </c>
      <c r="L14" s="1526">
        <v>0.25</v>
      </c>
      <c r="M14" s="1526">
        <v>0.25</v>
      </c>
      <c r="N14" s="1526">
        <v>0.25</v>
      </c>
      <c r="O14" s="1210">
        <v>0.25</v>
      </c>
      <c r="P14" s="1555">
        <f>SUM(L14:O14)</f>
        <v>1</v>
      </c>
      <c r="Q14" s="1526">
        <v>0.25</v>
      </c>
      <c r="R14" s="1526">
        <v>0.25</v>
      </c>
      <c r="S14" s="1526">
        <v>0.25</v>
      </c>
      <c r="T14" s="1210">
        <v>0.25</v>
      </c>
      <c r="U14" s="1012">
        <f>SUM(Q14:T14)</f>
        <v>1</v>
      </c>
    </row>
    <row r="15" spans="1:23" x14ac:dyDescent="0.2">
      <c r="B15" s="899"/>
      <c r="C15" s="899"/>
      <c r="G15" s="899"/>
      <c r="J15" s="881"/>
      <c r="K15" s="1554"/>
      <c r="O15" s="881"/>
      <c r="P15" s="1554"/>
      <c r="T15" s="881"/>
      <c r="U15" s="881"/>
    </row>
    <row r="16" spans="1:23" x14ac:dyDescent="0.2">
      <c r="B16" s="899" t="s">
        <v>1548</v>
      </c>
      <c r="C16" s="899" t="s">
        <v>1453</v>
      </c>
      <c r="F16" s="1086" t="s">
        <v>1062</v>
      </c>
      <c r="G16" s="1539">
        <v>0.1</v>
      </c>
      <c r="H16" s="1526">
        <v>0.2</v>
      </c>
      <c r="I16" s="1526">
        <v>0.3</v>
      </c>
      <c r="J16" s="1210">
        <v>0.4</v>
      </c>
      <c r="K16" s="1555">
        <f>SUM(G16:J16)</f>
        <v>1</v>
      </c>
      <c r="L16" s="1526">
        <v>0.2</v>
      </c>
      <c r="M16" s="1526">
        <v>0.2</v>
      </c>
      <c r="N16" s="1526">
        <v>0.3</v>
      </c>
      <c r="O16" s="1210">
        <v>0.3</v>
      </c>
      <c r="P16" s="1555">
        <f>SUM(L16:O16)</f>
        <v>1</v>
      </c>
      <c r="Q16" s="1526">
        <v>0.2</v>
      </c>
      <c r="R16" s="1526">
        <v>0.2</v>
      </c>
      <c r="S16" s="1526">
        <v>0.3</v>
      </c>
      <c r="T16" s="1210">
        <v>0.3</v>
      </c>
      <c r="U16" s="1012">
        <f>SUM(Q16:T16)</f>
        <v>1</v>
      </c>
    </row>
    <row r="17" spans="2:21" x14ac:dyDescent="0.2">
      <c r="B17" s="899" t="s">
        <v>1549</v>
      </c>
      <c r="C17" s="899" t="s">
        <v>1457</v>
      </c>
      <c r="F17" s="1086" t="s">
        <v>1062</v>
      </c>
      <c r="G17" s="1539">
        <v>0</v>
      </c>
      <c r="H17" s="1526">
        <v>0.1</v>
      </c>
      <c r="I17" s="1526">
        <v>0.4</v>
      </c>
      <c r="J17" s="1210">
        <v>0.5</v>
      </c>
      <c r="K17" s="1555">
        <f>SUM(G17:J17)</f>
        <v>1</v>
      </c>
      <c r="L17" s="1526">
        <v>0.25</v>
      </c>
      <c r="M17" s="1526">
        <v>0.25</v>
      </c>
      <c r="N17" s="1526">
        <v>0.25</v>
      </c>
      <c r="O17" s="1210">
        <v>0.25</v>
      </c>
      <c r="P17" s="1555">
        <f>SUM(L17:O17)</f>
        <v>1</v>
      </c>
      <c r="Q17" s="1526">
        <v>0.25</v>
      </c>
      <c r="R17" s="1526">
        <v>0.25</v>
      </c>
      <c r="S17" s="1526">
        <v>0.25</v>
      </c>
      <c r="T17" s="1210">
        <v>0.25</v>
      </c>
      <c r="U17" s="1012">
        <f>SUM(Q17:T17)</f>
        <v>1</v>
      </c>
    </row>
    <row r="18" spans="2:21" x14ac:dyDescent="0.2">
      <c r="B18" s="899" t="s">
        <v>1550</v>
      </c>
      <c r="C18" s="899" t="s">
        <v>1458</v>
      </c>
      <c r="F18" s="1086" t="s">
        <v>1062</v>
      </c>
      <c r="G18" s="1539">
        <v>0.1</v>
      </c>
      <c r="H18" s="1526">
        <v>0.3</v>
      </c>
      <c r="I18" s="1526">
        <v>0.3</v>
      </c>
      <c r="J18" s="1210">
        <v>0.3</v>
      </c>
      <c r="K18" s="1555">
        <f>SUM(G18:J18)</f>
        <v>1</v>
      </c>
      <c r="L18" s="1526">
        <v>0.25</v>
      </c>
      <c r="M18" s="1526">
        <v>0.25</v>
      </c>
      <c r="N18" s="1526">
        <v>0.25</v>
      </c>
      <c r="O18" s="1210">
        <v>0.25</v>
      </c>
      <c r="P18" s="1555">
        <f>SUM(L18:O18)</f>
        <v>1</v>
      </c>
      <c r="Q18" s="1526">
        <v>0.25</v>
      </c>
      <c r="R18" s="1526">
        <v>0.25</v>
      </c>
      <c r="S18" s="1526">
        <v>0.25</v>
      </c>
      <c r="T18" s="1210">
        <v>0.25</v>
      </c>
      <c r="U18" s="1012">
        <f>SUM(Q18:T18)</f>
        <v>1</v>
      </c>
    </row>
    <row r="19" spans="2:21" x14ac:dyDescent="0.2">
      <c r="B19" s="899"/>
      <c r="C19" s="899"/>
      <c r="F19" s="1086"/>
      <c r="G19" s="1539"/>
      <c r="H19" s="1526"/>
      <c r="I19" s="1526"/>
      <c r="J19" s="1210"/>
      <c r="K19" s="1555"/>
      <c r="L19" s="1526"/>
      <c r="M19" s="1526"/>
      <c r="N19" s="1526"/>
      <c r="O19" s="1210"/>
      <c r="P19" s="1555"/>
      <c r="Q19" s="1526"/>
      <c r="R19" s="1526"/>
      <c r="S19" s="1526"/>
      <c r="T19" s="1210"/>
      <c r="U19" s="1012"/>
    </row>
    <row r="20" spans="2:21" x14ac:dyDescent="0.2">
      <c r="B20" s="899" t="s">
        <v>1245</v>
      </c>
      <c r="C20" s="899" t="s">
        <v>1396</v>
      </c>
      <c r="E20" s="929">
        <f>-Assumptions!G148</f>
        <v>-30000</v>
      </c>
      <c r="F20" s="1089" t="s">
        <v>1460</v>
      </c>
      <c r="G20" s="1540">
        <f>-Assumptions!H142</f>
        <v>-5000</v>
      </c>
      <c r="H20" s="1529">
        <v>0</v>
      </c>
      <c r="I20" s="1529">
        <v>0</v>
      </c>
      <c r="J20" s="1545">
        <f>-Assumptions!H143</f>
        <v>0</v>
      </c>
      <c r="K20" s="1551">
        <f>-Assumptions!H148</f>
        <v>-5000</v>
      </c>
      <c r="L20" s="1529">
        <v>0</v>
      </c>
      <c r="M20" s="1529">
        <f>-Assumptions!I144</f>
        <v>-5000</v>
      </c>
      <c r="N20" s="1529">
        <f>-Assumptions!I142</f>
        <v>-10000</v>
      </c>
      <c r="O20" s="1545">
        <v>0</v>
      </c>
      <c r="P20" s="1551">
        <f>-Assumptions!I148</f>
        <v>-15000</v>
      </c>
      <c r="Q20" s="1529">
        <f>-Assumptions!J143</f>
        <v>0</v>
      </c>
      <c r="R20" s="1529">
        <v>0</v>
      </c>
      <c r="S20" s="1529">
        <v>0</v>
      </c>
      <c r="T20" s="1545">
        <v>0</v>
      </c>
      <c r="U20" s="1532">
        <f>-Assumptions!J148</f>
        <v>0</v>
      </c>
    </row>
    <row r="21" spans="2:21" x14ac:dyDescent="0.2">
      <c r="B21" s="903"/>
      <c r="C21" s="903"/>
      <c r="D21" s="877"/>
      <c r="E21" s="877"/>
      <c r="F21" s="1541"/>
      <c r="G21" s="1542"/>
      <c r="H21" s="1543"/>
      <c r="I21" s="1543"/>
      <c r="J21" s="1546"/>
      <c r="K21" s="1556"/>
      <c r="L21" s="1543"/>
      <c r="M21" s="1543"/>
      <c r="N21" s="1543"/>
      <c r="O21" s="1546"/>
      <c r="P21" s="1556"/>
      <c r="Q21" s="1543"/>
      <c r="R21" s="1543"/>
      <c r="S21" s="1543"/>
      <c r="T21" s="1546"/>
      <c r="U21" s="1510"/>
    </row>
    <row r="22" spans="2:21" x14ac:dyDescent="0.2"/>
    <row r="23" spans="2:21" ht="19.5" customHeight="1" x14ac:dyDescent="0.2">
      <c r="B23" s="160" t="s">
        <v>1448</v>
      </c>
      <c r="C23" s="160" t="s">
        <v>1448</v>
      </c>
      <c r="D23" s="160"/>
      <c r="E23" s="160"/>
      <c r="F23" s="160"/>
      <c r="G23" s="160"/>
      <c r="H23" s="160"/>
      <c r="I23" s="160"/>
      <c r="J23" s="160"/>
      <c r="K23" s="160"/>
      <c r="L23" s="160"/>
      <c r="M23" s="160"/>
      <c r="N23" s="160"/>
      <c r="O23" s="160"/>
      <c r="P23" s="160"/>
      <c r="Q23" s="160"/>
      <c r="R23" s="160"/>
      <c r="S23" s="160"/>
      <c r="T23" s="160"/>
      <c r="U23" s="160"/>
    </row>
    <row r="24" spans="2:21" x14ac:dyDescent="0.2">
      <c r="B24" s="1528" t="s">
        <v>1551</v>
      </c>
      <c r="C24" s="1528" t="s">
        <v>1452</v>
      </c>
      <c r="D24" s="877"/>
      <c r="E24" s="877"/>
      <c r="F24" s="1441">
        <v>2024</v>
      </c>
      <c r="G24" s="1525">
        <v>1</v>
      </c>
      <c r="H24" s="1525">
        <f>G24+1</f>
        <v>2</v>
      </c>
      <c r="I24" s="1525">
        <f t="shared" ref="I24:J24" si="3">H24+1</f>
        <v>3</v>
      </c>
      <c r="J24" s="1544">
        <f t="shared" si="3"/>
        <v>4</v>
      </c>
      <c r="K24" s="1549">
        <f>K$2</f>
        <v>2025</v>
      </c>
      <c r="L24" s="1525">
        <v>1</v>
      </c>
      <c r="M24" s="1525">
        <f>L24+1</f>
        <v>2</v>
      </c>
      <c r="N24" s="1525">
        <f t="shared" ref="N24:O24" si="4">M24+1</f>
        <v>3</v>
      </c>
      <c r="O24" s="1544">
        <f t="shared" si="4"/>
        <v>4</v>
      </c>
      <c r="P24" s="1549">
        <f>P$2</f>
        <v>2026</v>
      </c>
      <c r="Q24" s="1525">
        <v>1</v>
      </c>
      <c r="R24" s="1525">
        <f>Q24+1</f>
        <v>2</v>
      </c>
      <c r="S24" s="1525">
        <f t="shared" ref="S24:T24" si="5">R24+1</f>
        <v>3</v>
      </c>
      <c r="T24" s="1544">
        <f t="shared" si="5"/>
        <v>4</v>
      </c>
      <c r="U24" s="1441">
        <f>U$2</f>
        <v>2027</v>
      </c>
    </row>
    <row r="25" spans="2:21" x14ac:dyDescent="0.2">
      <c r="B25" s="1269" t="s">
        <v>1552</v>
      </c>
      <c r="C25" s="1269" t="s">
        <v>827</v>
      </c>
      <c r="F25" s="881"/>
      <c r="G25" s="741">
        <f t="shared" ref="G25:J26" si="6">$K25*G8</f>
        <v>17109.340841666668</v>
      </c>
      <c r="H25" s="741">
        <f t="shared" si="6"/>
        <v>51328.022525</v>
      </c>
      <c r="I25" s="741">
        <f t="shared" si="6"/>
        <v>51328.022525</v>
      </c>
      <c r="J25" s="880">
        <f t="shared" si="6"/>
        <v>51328.022525</v>
      </c>
      <c r="K25" s="1550">
        <f>Projections!J95</f>
        <v>171093.40841666667</v>
      </c>
      <c r="L25" s="741">
        <f t="shared" ref="L25:O26" si="7">$P25*L8</f>
        <v>143667.85778561668</v>
      </c>
      <c r="M25" s="741">
        <f t="shared" si="7"/>
        <v>53875.446669606252</v>
      </c>
      <c r="N25" s="741">
        <f t="shared" si="7"/>
        <v>125709.37556241459</v>
      </c>
      <c r="O25" s="881">
        <f t="shared" si="7"/>
        <v>35916.96444640417</v>
      </c>
      <c r="P25" s="1550">
        <f>Projections!K95</f>
        <v>359169.64446404169</v>
      </c>
      <c r="Q25" s="741">
        <f t="shared" ref="Q25:T26" si="8">$U25*Q8</f>
        <v>199452.29293774461</v>
      </c>
      <c r="R25" s="741">
        <f t="shared" si="8"/>
        <v>74794.609851654226</v>
      </c>
      <c r="S25" s="741">
        <f t="shared" si="8"/>
        <v>149589.21970330845</v>
      </c>
      <c r="T25" s="881">
        <f t="shared" si="8"/>
        <v>74794.609851654226</v>
      </c>
      <c r="U25" s="1015">
        <f>Projections!L95</f>
        <v>498630.73234436149</v>
      </c>
    </row>
    <row r="26" spans="2:21" x14ac:dyDescent="0.2">
      <c r="B26" s="899" t="s">
        <v>79</v>
      </c>
      <c r="C26" s="899" t="s">
        <v>31</v>
      </c>
      <c r="F26" s="881"/>
      <c r="G26" s="741">
        <f t="shared" si="6"/>
        <v>1666.6666666666667</v>
      </c>
      <c r="H26" s="741">
        <f t="shared" si="6"/>
        <v>1666.6666666666667</v>
      </c>
      <c r="I26" s="741">
        <f t="shared" si="6"/>
        <v>1666.6666666666667</v>
      </c>
      <c r="J26" s="881">
        <f t="shared" si="6"/>
        <v>1666.6666666666667</v>
      </c>
      <c r="K26" s="1550">
        <f>Projections!$J96</f>
        <v>6666.666666666667</v>
      </c>
      <c r="L26" s="741">
        <f t="shared" si="7"/>
        <v>2291.666666666667</v>
      </c>
      <c r="M26" s="741">
        <f t="shared" si="7"/>
        <v>2291.666666666667</v>
      </c>
      <c r="N26" s="741">
        <f t="shared" si="7"/>
        <v>2291.666666666667</v>
      </c>
      <c r="O26" s="881">
        <f t="shared" si="7"/>
        <v>2291.666666666667</v>
      </c>
      <c r="P26" s="1550">
        <f>Projections!$K96</f>
        <v>9166.6666666666679</v>
      </c>
      <c r="Q26" s="741">
        <f t="shared" si="8"/>
        <v>2291.666666666667</v>
      </c>
      <c r="R26" s="741">
        <f t="shared" si="8"/>
        <v>2291.666666666667</v>
      </c>
      <c r="S26" s="741">
        <f t="shared" si="8"/>
        <v>2291.666666666667</v>
      </c>
      <c r="T26" s="881">
        <f t="shared" si="8"/>
        <v>2291.666666666667</v>
      </c>
      <c r="U26" s="1015">
        <f>Projections!$L96</f>
        <v>9166.6666666666679</v>
      </c>
    </row>
    <row r="27" spans="2:21" x14ac:dyDescent="0.2">
      <c r="B27" s="916" t="s">
        <v>1113</v>
      </c>
      <c r="C27" s="916" t="s">
        <v>828</v>
      </c>
      <c r="F27" s="881"/>
      <c r="J27" s="881"/>
      <c r="K27" s="1551"/>
      <c r="O27" s="881"/>
      <c r="P27" s="1551"/>
      <c r="T27" s="881"/>
      <c r="U27" s="1532"/>
    </row>
    <row r="28" spans="2:21" x14ac:dyDescent="0.2">
      <c r="B28" s="899" t="s">
        <v>1545</v>
      </c>
      <c r="C28" s="899" t="s">
        <v>829</v>
      </c>
      <c r="F28" s="881"/>
      <c r="G28" s="1529">
        <f t="shared" ref="G28:J31" si="9">$K28*G11</f>
        <v>-6185.7585616438355</v>
      </c>
      <c r="H28" s="1529">
        <f t="shared" si="9"/>
        <v>-6185.7585616438355</v>
      </c>
      <c r="I28" s="1529">
        <f t="shared" si="9"/>
        <v>-6185.7585616438355</v>
      </c>
      <c r="J28" s="1545">
        <f t="shared" si="9"/>
        <v>-6185.7585616438355</v>
      </c>
      <c r="K28" s="1551">
        <f>Projections!J98</f>
        <v>-24743.034246575342</v>
      </c>
      <c r="L28" s="1529">
        <f t="shared" ref="L28:O31" si="10">$P28*L11</f>
        <v>-4514.8894443493136</v>
      </c>
      <c r="M28" s="1529">
        <f t="shared" si="10"/>
        <v>-4514.8894443493136</v>
      </c>
      <c r="N28" s="1529">
        <f t="shared" si="10"/>
        <v>-4514.8894443493136</v>
      </c>
      <c r="O28" s="1545">
        <f t="shared" si="10"/>
        <v>-4514.8894443493136</v>
      </c>
      <c r="P28" s="1551">
        <f>Projections!K98</f>
        <v>-18059.557777397255</v>
      </c>
      <c r="Q28" s="1529">
        <f t="shared" ref="Q28:T31" si="11">$U28*Q11</f>
        <v>-3669.2522012550471</v>
      </c>
      <c r="R28" s="1529">
        <f t="shared" si="11"/>
        <v>-3669.2522012550471</v>
      </c>
      <c r="S28" s="1529">
        <f t="shared" si="11"/>
        <v>-3669.2522012550471</v>
      </c>
      <c r="T28" s="1545">
        <f t="shared" si="11"/>
        <v>-3669.2522012550471</v>
      </c>
      <c r="U28" s="1532">
        <f>Projections!L98</f>
        <v>-14677.008805020188</v>
      </c>
    </row>
    <row r="29" spans="2:21" x14ac:dyDescent="0.2">
      <c r="B29" s="899" t="s">
        <v>1546</v>
      </c>
      <c r="C29" s="899" t="s">
        <v>830</v>
      </c>
      <c r="F29" s="881"/>
      <c r="G29" s="1529">
        <f t="shared" si="9"/>
        <v>0</v>
      </c>
      <c r="H29" s="1529">
        <f t="shared" si="9"/>
        <v>0</v>
      </c>
      <c r="I29" s="1529">
        <f t="shared" si="9"/>
        <v>0</v>
      </c>
      <c r="J29" s="1545">
        <f t="shared" si="9"/>
        <v>0</v>
      </c>
      <c r="K29" s="1551">
        <f>Projections!J99</f>
        <v>0</v>
      </c>
      <c r="L29" s="1529">
        <f t="shared" si="10"/>
        <v>0</v>
      </c>
      <c r="M29" s="1529">
        <f t="shared" si="10"/>
        <v>0</v>
      </c>
      <c r="N29" s="1529">
        <f t="shared" si="10"/>
        <v>0</v>
      </c>
      <c r="O29" s="1545">
        <f t="shared" si="10"/>
        <v>0</v>
      </c>
      <c r="P29" s="1551">
        <f>Projections!K99</f>
        <v>0</v>
      </c>
      <c r="Q29" s="1529">
        <f t="shared" si="11"/>
        <v>0</v>
      </c>
      <c r="R29" s="1529">
        <f t="shared" si="11"/>
        <v>0</v>
      </c>
      <c r="S29" s="1529">
        <f t="shared" si="11"/>
        <v>0</v>
      </c>
      <c r="T29" s="1545">
        <f t="shared" si="11"/>
        <v>0</v>
      </c>
      <c r="U29" s="1532">
        <f>Projections!L99</f>
        <v>0</v>
      </c>
    </row>
    <row r="30" spans="2:21" x14ac:dyDescent="0.2">
      <c r="B30" s="899" t="s">
        <v>1547</v>
      </c>
      <c r="C30" s="899" t="s">
        <v>831</v>
      </c>
      <c r="F30" s="881"/>
      <c r="G30" s="1529">
        <f t="shared" si="9"/>
        <v>-5160.6900000000005</v>
      </c>
      <c r="H30" s="1529">
        <f t="shared" si="9"/>
        <v>-15482.07</v>
      </c>
      <c r="I30" s="1529">
        <f t="shared" si="9"/>
        <v>-15482.07</v>
      </c>
      <c r="J30" s="1545">
        <f t="shared" si="9"/>
        <v>-15482.07</v>
      </c>
      <c r="K30" s="1551">
        <f>0-NWC!K16</f>
        <v>-51606.9</v>
      </c>
      <c r="L30" s="1529">
        <f t="shared" si="10"/>
        <v>-9416.7694124999962</v>
      </c>
      <c r="M30" s="1529">
        <f t="shared" si="10"/>
        <v>-9416.7694124999962</v>
      </c>
      <c r="N30" s="1529">
        <f t="shared" si="10"/>
        <v>-9416.7694124999962</v>
      </c>
      <c r="O30" s="1545">
        <f t="shared" si="10"/>
        <v>-9416.7694124999962</v>
      </c>
      <c r="P30" s="1551">
        <f>NWC!K16-NWC!L16</f>
        <v>-37667.077649999985</v>
      </c>
      <c r="Q30" s="1529">
        <f t="shared" si="11"/>
        <v>-7653.0117340462421</v>
      </c>
      <c r="R30" s="1529">
        <f t="shared" si="11"/>
        <v>-7653.0117340462421</v>
      </c>
      <c r="S30" s="1529">
        <f t="shared" si="11"/>
        <v>-7653.0117340462421</v>
      </c>
      <c r="T30" s="1545">
        <f t="shared" si="11"/>
        <v>-7653.0117340462421</v>
      </c>
      <c r="U30" s="1532">
        <f>NWC!L16-NWC!M16</f>
        <v>-30612.046936184968</v>
      </c>
    </row>
    <row r="31" spans="2:21" x14ac:dyDescent="0.2">
      <c r="B31" s="434" t="s">
        <v>1206</v>
      </c>
      <c r="C31" s="899" t="s">
        <v>1454</v>
      </c>
      <c r="F31" s="881"/>
      <c r="G31" s="1529">
        <f t="shared" si="9"/>
        <v>-1612.715625</v>
      </c>
      <c r="H31" s="1529">
        <f t="shared" si="9"/>
        <v>-1612.715625</v>
      </c>
      <c r="I31" s="1529">
        <f t="shared" si="9"/>
        <v>-1612.715625</v>
      </c>
      <c r="J31" s="1545">
        <f t="shared" si="9"/>
        <v>-1612.715625</v>
      </c>
      <c r="K31" s="1551">
        <f>0-NWC!K17</f>
        <v>-6450.8625000000002</v>
      </c>
      <c r="L31" s="1529">
        <f t="shared" si="10"/>
        <v>-1177.0961765624995</v>
      </c>
      <c r="M31" s="1529">
        <f t="shared" si="10"/>
        <v>-1177.0961765624995</v>
      </c>
      <c r="N31" s="1529">
        <f t="shared" si="10"/>
        <v>-1177.0961765624995</v>
      </c>
      <c r="O31" s="1545">
        <f t="shared" si="10"/>
        <v>-1177.0961765624995</v>
      </c>
      <c r="P31" s="1551">
        <f>NWC!K17-NWC!L17</f>
        <v>-4708.3847062499981</v>
      </c>
      <c r="Q31" s="1529">
        <f t="shared" si="11"/>
        <v>-956.62646675578026</v>
      </c>
      <c r="R31" s="1529">
        <f t="shared" si="11"/>
        <v>-956.62646675578026</v>
      </c>
      <c r="S31" s="1529">
        <f t="shared" si="11"/>
        <v>-956.62646675578026</v>
      </c>
      <c r="T31" s="1545">
        <f t="shared" si="11"/>
        <v>-956.62646675578026</v>
      </c>
      <c r="U31" s="1532">
        <f>NWC!L17-NWC!M17</f>
        <v>-3826.505867023121</v>
      </c>
    </row>
    <row r="32" spans="2:21" x14ac:dyDescent="0.2">
      <c r="B32" s="899"/>
      <c r="C32" s="899"/>
      <c r="F32" s="881"/>
      <c r="G32" s="1529"/>
      <c r="H32" s="1529"/>
      <c r="I32" s="1529"/>
      <c r="J32" s="1545"/>
      <c r="K32" s="1551"/>
      <c r="L32" s="1529"/>
      <c r="M32" s="1529"/>
      <c r="N32" s="1529"/>
      <c r="O32" s="1545"/>
      <c r="P32" s="1551"/>
      <c r="Q32" s="1529"/>
      <c r="R32" s="1529"/>
      <c r="S32" s="1529"/>
      <c r="T32" s="1545"/>
      <c r="U32" s="1532"/>
    </row>
    <row r="33" spans="2:21" x14ac:dyDescent="0.2">
      <c r="B33" s="1554" t="s">
        <v>1548</v>
      </c>
      <c r="C33" s="899" t="s">
        <v>1453</v>
      </c>
      <c r="F33" s="881"/>
      <c r="G33" s="1529">
        <f t="shared" ref="G33:J35" si="12">$K33*G16</f>
        <v>5451.9874246575346</v>
      </c>
      <c r="H33" s="1529">
        <f t="shared" si="12"/>
        <v>10903.974849315069</v>
      </c>
      <c r="I33" s="1529">
        <f t="shared" si="12"/>
        <v>16355.9622739726</v>
      </c>
      <c r="J33" s="1545">
        <f t="shared" si="12"/>
        <v>21807.949698630138</v>
      </c>
      <c r="K33" s="1551">
        <f>NWC!K21-0</f>
        <v>54519.874246575338</v>
      </c>
      <c r="L33" s="1529">
        <f t="shared" ref="L33:O35" si="13">$P33*L16</f>
        <v>6919.0644607397226</v>
      </c>
      <c r="M33" s="1529">
        <f t="shared" si="13"/>
        <v>6919.0644607397226</v>
      </c>
      <c r="N33" s="1529">
        <f t="shared" si="13"/>
        <v>10378.596691109582</v>
      </c>
      <c r="O33" s="1545">
        <f t="shared" si="13"/>
        <v>10378.596691109582</v>
      </c>
      <c r="P33" s="1551">
        <f>NWC!L21-NWC!K21</f>
        <v>34595.322303698609</v>
      </c>
      <c r="Q33" s="1529">
        <f t="shared" ref="Q33:T35" si="14">$U33*Q16</f>
        <v>5871.1205285246315</v>
      </c>
      <c r="R33" s="1529">
        <f t="shared" si="14"/>
        <v>5871.1205285246315</v>
      </c>
      <c r="S33" s="1529">
        <f t="shared" si="14"/>
        <v>8806.6807927869468</v>
      </c>
      <c r="T33" s="1545">
        <f t="shared" si="14"/>
        <v>8806.6807927869468</v>
      </c>
      <c r="U33" s="1532">
        <f>NWC!M21-NWC!L21</f>
        <v>29355.602642623155</v>
      </c>
    </row>
    <row r="34" spans="2:21" x14ac:dyDescent="0.2">
      <c r="B34" s="1554" t="s">
        <v>1549</v>
      </c>
      <c r="C34" s="899" t="s">
        <v>1459</v>
      </c>
      <c r="F34" s="881"/>
      <c r="G34" s="1529">
        <f t="shared" si="12"/>
        <v>0</v>
      </c>
      <c r="H34" s="1529">
        <f t="shared" si="12"/>
        <v>2580.3450000000003</v>
      </c>
      <c r="I34" s="1529">
        <f t="shared" si="12"/>
        <v>10321.380000000001</v>
      </c>
      <c r="J34" s="1545">
        <f t="shared" si="12"/>
        <v>12901.725</v>
      </c>
      <c r="K34" s="1551">
        <f>NWC!K22-0</f>
        <v>25803.45</v>
      </c>
      <c r="L34" s="1529">
        <f t="shared" si="13"/>
        <v>4708.3847062499981</v>
      </c>
      <c r="M34" s="1529">
        <f t="shared" si="13"/>
        <v>4708.3847062499981</v>
      </c>
      <c r="N34" s="1529">
        <f t="shared" si="13"/>
        <v>4708.3847062499981</v>
      </c>
      <c r="O34" s="1545">
        <f t="shared" si="13"/>
        <v>4708.3847062499981</v>
      </c>
      <c r="P34" s="1551">
        <f>NWC!L22-NWC!K22</f>
        <v>18833.538824999992</v>
      </c>
      <c r="Q34" s="1529">
        <f t="shared" si="14"/>
        <v>3826.505867023121</v>
      </c>
      <c r="R34" s="1529">
        <f t="shared" si="14"/>
        <v>3826.505867023121</v>
      </c>
      <c r="S34" s="1529">
        <f t="shared" si="14"/>
        <v>3826.505867023121</v>
      </c>
      <c r="T34" s="1545">
        <f t="shared" si="14"/>
        <v>3826.505867023121</v>
      </c>
      <c r="U34" s="1532">
        <f>NWC!M22-NWC!L22</f>
        <v>15306.023468092484</v>
      </c>
    </row>
    <row r="35" spans="2:21" x14ac:dyDescent="0.2">
      <c r="B35" s="1625" t="s">
        <v>1550</v>
      </c>
      <c r="C35" s="903" t="s">
        <v>1458</v>
      </c>
      <c r="D35" s="877"/>
      <c r="E35" s="877"/>
      <c r="F35" s="882"/>
      <c r="G35" s="1530">
        <f t="shared" si="12"/>
        <v>4515.6037500000011</v>
      </c>
      <c r="H35" s="1530">
        <f t="shared" si="12"/>
        <v>13546.811250000001</v>
      </c>
      <c r="I35" s="1530">
        <f t="shared" si="12"/>
        <v>13546.811250000001</v>
      </c>
      <c r="J35" s="1531">
        <f t="shared" si="12"/>
        <v>13546.811250000001</v>
      </c>
      <c r="K35" s="1552">
        <f>NWC!K23-0</f>
        <v>45156.037500000006</v>
      </c>
      <c r="L35" s="1530">
        <f t="shared" si="13"/>
        <v>8239.6732359374982</v>
      </c>
      <c r="M35" s="1530">
        <f t="shared" si="13"/>
        <v>8239.6732359374982</v>
      </c>
      <c r="N35" s="1530">
        <f t="shared" si="13"/>
        <v>8239.6732359374982</v>
      </c>
      <c r="O35" s="1531">
        <f t="shared" si="13"/>
        <v>8239.6732359374982</v>
      </c>
      <c r="P35" s="1552">
        <f>NWC!L23-NWC!K23</f>
        <v>32958.692943749993</v>
      </c>
      <c r="Q35" s="1530">
        <f t="shared" si="14"/>
        <v>6696.3852672904613</v>
      </c>
      <c r="R35" s="1530">
        <f t="shared" si="14"/>
        <v>6696.3852672904613</v>
      </c>
      <c r="S35" s="1530">
        <f t="shared" si="14"/>
        <v>6696.3852672904613</v>
      </c>
      <c r="T35" s="1531">
        <f t="shared" si="14"/>
        <v>6696.3852672904613</v>
      </c>
      <c r="U35" s="1536">
        <f>NWC!M23-NWC!L23</f>
        <v>26785.541069161845</v>
      </c>
    </row>
    <row r="36" spans="2:21" x14ac:dyDescent="0.2">
      <c r="B36" s="899"/>
      <c r="C36" s="899"/>
      <c r="F36" s="881"/>
      <c r="G36" s="1529">
        <f>SUM(G25:G35)</f>
        <v>15784.434496347036</v>
      </c>
      <c r="H36" s="1529">
        <f t="shared" ref="H36:U36" si="15">SUM(H25:H35)</f>
        <v>56745.2761043379</v>
      </c>
      <c r="I36" s="1529">
        <f t="shared" si="15"/>
        <v>69938.298528995423</v>
      </c>
      <c r="J36" s="1545">
        <f t="shared" si="15"/>
        <v>77970.630953652973</v>
      </c>
      <c r="K36" s="1551">
        <f t="shared" si="15"/>
        <v>220438.64008333333</v>
      </c>
      <c r="L36" s="1529">
        <f t="shared" si="15"/>
        <v>150717.89182179872</v>
      </c>
      <c r="M36" s="1529">
        <f t="shared" si="15"/>
        <v>60925.48070578833</v>
      </c>
      <c r="N36" s="1529">
        <f t="shared" si="15"/>
        <v>136218.94182896652</v>
      </c>
      <c r="O36" s="1545">
        <f t="shared" si="15"/>
        <v>46426.530712956112</v>
      </c>
      <c r="P36" s="1551">
        <f t="shared" si="15"/>
        <v>394288.84506950976</v>
      </c>
      <c r="Q36" s="1529">
        <f t="shared" si="15"/>
        <v>205859.08086519237</v>
      </c>
      <c r="R36" s="1529">
        <f t="shared" si="15"/>
        <v>81201.397779102044</v>
      </c>
      <c r="S36" s="1529">
        <f t="shared" si="15"/>
        <v>158931.56789501852</v>
      </c>
      <c r="T36" s="1545">
        <f t="shared" si="15"/>
        <v>84136.958043364357</v>
      </c>
      <c r="U36" s="1532">
        <f t="shared" si="15"/>
        <v>530129.00458267727</v>
      </c>
    </row>
    <row r="37" spans="2:21" x14ac:dyDescent="0.2">
      <c r="B37" s="899"/>
      <c r="C37" s="899"/>
      <c r="F37" s="881"/>
      <c r="G37" s="1529"/>
      <c r="H37" s="1529"/>
      <c r="I37" s="1529"/>
      <c r="J37" s="1545"/>
      <c r="K37" s="1551"/>
      <c r="L37" s="1529"/>
      <c r="M37" s="1529"/>
      <c r="N37" s="1529"/>
      <c r="O37" s="1545"/>
      <c r="P37" s="1551"/>
      <c r="Q37" s="1529"/>
      <c r="R37" s="1529"/>
      <c r="S37" s="1529"/>
      <c r="T37" s="1545"/>
      <c r="U37" s="1532"/>
    </row>
    <row r="38" spans="2:21" x14ac:dyDescent="0.2">
      <c r="B38" s="916" t="s">
        <v>1119</v>
      </c>
      <c r="C38" s="916" t="s">
        <v>834</v>
      </c>
      <c r="F38" s="881"/>
      <c r="G38" s="1529"/>
      <c r="H38" s="1529"/>
      <c r="I38" s="1529"/>
      <c r="J38" s="1545"/>
      <c r="K38" s="1551"/>
      <c r="L38" s="1529"/>
      <c r="M38" s="1529"/>
      <c r="N38" s="1529"/>
      <c r="O38" s="1545"/>
      <c r="P38" s="1551"/>
      <c r="Q38" s="1529"/>
      <c r="R38" s="1529"/>
      <c r="S38" s="1529"/>
      <c r="T38" s="1545"/>
      <c r="U38" s="1532"/>
    </row>
    <row r="39" spans="2:21" x14ac:dyDescent="0.2">
      <c r="B39" s="903" t="s">
        <v>1553</v>
      </c>
      <c r="C39" s="903" t="s">
        <v>835</v>
      </c>
      <c r="D39" s="877"/>
      <c r="E39" s="877"/>
      <c r="F39" s="1531">
        <f>-Assumptions!G148</f>
        <v>-30000</v>
      </c>
      <c r="G39" s="1530">
        <f t="shared" ref="G39:U39" si="16">G20</f>
        <v>-5000</v>
      </c>
      <c r="H39" s="1530">
        <f t="shared" si="16"/>
        <v>0</v>
      </c>
      <c r="I39" s="1530">
        <f t="shared" si="16"/>
        <v>0</v>
      </c>
      <c r="J39" s="1531">
        <f t="shared" si="16"/>
        <v>0</v>
      </c>
      <c r="K39" s="1552">
        <f t="shared" si="16"/>
        <v>-5000</v>
      </c>
      <c r="L39" s="1530">
        <f t="shared" si="16"/>
        <v>0</v>
      </c>
      <c r="M39" s="1530">
        <f t="shared" si="16"/>
        <v>-5000</v>
      </c>
      <c r="N39" s="1530">
        <f t="shared" si="16"/>
        <v>-10000</v>
      </c>
      <c r="O39" s="1531">
        <f t="shared" si="16"/>
        <v>0</v>
      </c>
      <c r="P39" s="1552">
        <f t="shared" si="16"/>
        <v>-15000</v>
      </c>
      <c r="Q39" s="1530">
        <f t="shared" si="16"/>
        <v>0</v>
      </c>
      <c r="R39" s="1530">
        <f t="shared" si="16"/>
        <v>0</v>
      </c>
      <c r="S39" s="1530">
        <f t="shared" si="16"/>
        <v>0</v>
      </c>
      <c r="T39" s="1531">
        <f t="shared" si="16"/>
        <v>0</v>
      </c>
      <c r="U39" s="1536">
        <f t="shared" si="16"/>
        <v>0</v>
      </c>
    </row>
    <row r="40" spans="2:21" x14ac:dyDescent="0.2">
      <c r="B40" s="899"/>
      <c r="C40" s="899"/>
      <c r="F40" s="1532">
        <f>F39</f>
        <v>-30000</v>
      </c>
      <c r="G40" s="1529">
        <f>G39</f>
        <v>-5000</v>
      </c>
      <c r="H40" s="1529">
        <f t="shared" ref="H40:U40" si="17">H39</f>
        <v>0</v>
      </c>
      <c r="I40" s="1529">
        <f t="shared" si="17"/>
        <v>0</v>
      </c>
      <c r="J40" s="1545">
        <f t="shared" si="17"/>
        <v>0</v>
      </c>
      <c r="K40" s="1551">
        <f t="shared" si="17"/>
        <v>-5000</v>
      </c>
      <c r="L40" s="1529">
        <f t="shared" si="17"/>
        <v>0</v>
      </c>
      <c r="M40" s="1529">
        <f t="shared" si="17"/>
        <v>-5000</v>
      </c>
      <c r="N40" s="1529">
        <f t="shared" si="17"/>
        <v>-10000</v>
      </c>
      <c r="O40" s="1545">
        <f t="shared" si="17"/>
        <v>0</v>
      </c>
      <c r="P40" s="1551">
        <f t="shared" si="17"/>
        <v>-15000</v>
      </c>
      <c r="Q40" s="1529">
        <f t="shared" si="17"/>
        <v>0</v>
      </c>
      <c r="R40" s="1529">
        <f t="shared" si="17"/>
        <v>0</v>
      </c>
      <c r="S40" s="1529">
        <f t="shared" si="17"/>
        <v>0</v>
      </c>
      <c r="T40" s="1545">
        <f t="shared" si="17"/>
        <v>0</v>
      </c>
      <c r="U40" s="1532">
        <f t="shared" si="17"/>
        <v>0</v>
      </c>
    </row>
    <row r="41" spans="2:21" x14ac:dyDescent="0.2">
      <c r="B41" s="899"/>
      <c r="C41" s="899"/>
      <c r="F41" s="881"/>
      <c r="G41" s="1529"/>
      <c r="H41" s="1529"/>
      <c r="I41" s="1529"/>
      <c r="J41" s="1545"/>
      <c r="K41" s="1551"/>
      <c r="L41" s="1529"/>
      <c r="M41" s="1529"/>
      <c r="N41" s="1529"/>
      <c r="O41" s="1545"/>
      <c r="P41" s="1551"/>
      <c r="Q41" s="1529"/>
      <c r="R41" s="1529"/>
      <c r="S41" s="1529"/>
      <c r="T41" s="1545"/>
      <c r="U41" s="1532"/>
    </row>
    <row r="42" spans="2:21" x14ac:dyDescent="0.2">
      <c r="B42" s="916" t="s">
        <v>1122</v>
      </c>
      <c r="C42" s="916" t="s">
        <v>836</v>
      </c>
      <c r="F42" s="881"/>
      <c r="G42" s="1529"/>
      <c r="H42" s="1529"/>
      <c r="I42" s="1529"/>
      <c r="J42" s="1545"/>
      <c r="K42" s="1551"/>
      <c r="L42" s="1529"/>
      <c r="M42" s="1529"/>
      <c r="N42" s="1529"/>
      <c r="O42" s="1545"/>
      <c r="P42" s="1551"/>
      <c r="Q42" s="1529"/>
      <c r="R42" s="1529"/>
      <c r="S42" s="1529"/>
      <c r="T42" s="1545"/>
      <c r="U42" s="1532"/>
    </row>
    <row r="43" spans="2:21" x14ac:dyDescent="0.2">
      <c r="B43" s="899" t="s">
        <v>1554</v>
      </c>
      <c r="C43" s="899" t="s">
        <v>837</v>
      </c>
      <c r="F43" s="881"/>
      <c r="G43" s="1529">
        <v>0</v>
      </c>
      <c r="H43" s="1529">
        <v>0</v>
      </c>
      <c r="I43" s="1529">
        <v>0</v>
      </c>
      <c r="J43" s="1545">
        <v>0</v>
      </c>
      <c r="K43" s="1551">
        <v>0</v>
      </c>
      <c r="L43" s="1529">
        <v>0</v>
      </c>
      <c r="M43" s="1529">
        <v>0</v>
      </c>
      <c r="N43" s="1529">
        <v>0</v>
      </c>
      <c r="O43" s="1545">
        <v>0</v>
      </c>
      <c r="P43" s="1551">
        <v>0</v>
      </c>
      <c r="Q43" s="1529">
        <v>0</v>
      </c>
      <c r="R43" s="1529">
        <v>0</v>
      </c>
      <c r="S43" s="1529">
        <v>0</v>
      </c>
      <c r="T43" s="1545">
        <v>0</v>
      </c>
      <c r="U43" s="1532">
        <v>0</v>
      </c>
    </row>
    <row r="44" spans="2:21" x14ac:dyDescent="0.2">
      <c r="B44" s="899" t="s">
        <v>1555</v>
      </c>
      <c r="C44" s="899" t="s">
        <v>838</v>
      </c>
      <c r="F44" s="881"/>
      <c r="G44" s="1529">
        <v>0</v>
      </c>
      <c r="H44" s="1529">
        <v>0</v>
      </c>
      <c r="I44" s="1529">
        <v>0</v>
      </c>
      <c r="J44" s="1545">
        <v>0</v>
      </c>
      <c r="K44" s="1551">
        <v>0</v>
      </c>
      <c r="L44" s="1529">
        <v>0</v>
      </c>
      <c r="M44" s="1529">
        <v>0</v>
      </c>
      <c r="N44" s="1529">
        <v>0</v>
      </c>
      <c r="O44" s="1545">
        <v>0</v>
      </c>
      <c r="P44" s="1551">
        <v>0</v>
      </c>
      <c r="Q44" s="1529">
        <v>0</v>
      </c>
      <c r="R44" s="1529">
        <v>0</v>
      </c>
      <c r="S44" s="1529">
        <v>0</v>
      </c>
      <c r="T44" s="1545">
        <v>0</v>
      </c>
      <c r="U44" s="1532">
        <v>0</v>
      </c>
    </row>
    <row r="45" spans="2:21" x14ac:dyDescent="0.2">
      <c r="B45" s="903" t="s">
        <v>676</v>
      </c>
      <c r="C45" s="903" t="s">
        <v>839</v>
      </c>
      <c r="D45" s="877"/>
      <c r="E45" s="877"/>
      <c r="F45" s="882"/>
      <c r="G45" s="1530">
        <v>0</v>
      </c>
      <c r="H45" s="1530">
        <v>0</v>
      </c>
      <c r="I45" s="1530">
        <v>0</v>
      </c>
      <c r="J45" s="1531">
        <v>0</v>
      </c>
      <c r="K45" s="1552">
        <v>0</v>
      </c>
      <c r="L45" s="1530">
        <v>0</v>
      </c>
      <c r="M45" s="1530">
        <v>0</v>
      </c>
      <c r="N45" s="1530">
        <v>0</v>
      </c>
      <c r="O45" s="1531">
        <v>0</v>
      </c>
      <c r="P45" s="1552">
        <v>0</v>
      </c>
      <c r="Q45" s="1530">
        <v>0</v>
      </c>
      <c r="R45" s="1530">
        <v>0</v>
      </c>
      <c r="S45" s="1530">
        <v>0</v>
      </c>
      <c r="T45" s="1531">
        <v>0</v>
      </c>
      <c r="U45" s="1536">
        <v>0</v>
      </c>
    </row>
    <row r="46" spans="2:21" x14ac:dyDescent="0.2">
      <c r="B46" s="899"/>
      <c r="C46" s="899"/>
      <c r="F46" s="881"/>
      <c r="G46" s="1529">
        <f>SUM(G43:G45)</f>
        <v>0</v>
      </c>
      <c r="H46" s="1529">
        <f t="shared" ref="H46:K46" si="18">SUM(H43:H45)</f>
        <v>0</v>
      </c>
      <c r="I46" s="1529">
        <f t="shared" si="18"/>
        <v>0</v>
      </c>
      <c r="J46" s="1545">
        <f t="shared" si="18"/>
        <v>0</v>
      </c>
      <c r="K46" s="1551">
        <f t="shared" si="18"/>
        <v>0</v>
      </c>
      <c r="L46" s="1529">
        <f t="shared" ref="L46" si="19">SUM(L43:L45)</f>
        <v>0</v>
      </c>
      <c r="M46" s="1529">
        <f t="shared" ref="M46" si="20">SUM(M43:M45)</f>
        <v>0</v>
      </c>
      <c r="N46" s="1529">
        <f t="shared" ref="N46" si="21">SUM(N43:N45)</f>
        <v>0</v>
      </c>
      <c r="O46" s="1545">
        <f t="shared" ref="O46" si="22">SUM(O43:O45)</f>
        <v>0</v>
      </c>
      <c r="P46" s="1551">
        <f t="shared" ref="P46" si="23">SUM(P43:P45)</f>
        <v>0</v>
      </c>
      <c r="Q46" s="1529">
        <f t="shared" ref="Q46" si="24">SUM(Q43:Q45)</f>
        <v>0</v>
      </c>
      <c r="R46" s="1529">
        <f t="shared" ref="R46" si="25">SUM(R43:R45)</f>
        <v>0</v>
      </c>
      <c r="S46" s="1529">
        <f t="shared" ref="S46" si="26">SUM(S43:S45)</f>
        <v>0</v>
      </c>
      <c r="T46" s="1545">
        <f t="shared" ref="T46" si="27">SUM(T43:T45)</f>
        <v>0</v>
      </c>
      <c r="U46" s="1532">
        <f t="shared" ref="U46" si="28">SUM(U43:U45)</f>
        <v>0</v>
      </c>
    </row>
    <row r="47" spans="2:21" x14ac:dyDescent="0.2">
      <c r="B47" s="899"/>
      <c r="C47" s="899"/>
      <c r="F47" s="881"/>
      <c r="G47" s="1529"/>
      <c r="H47" s="1529"/>
      <c r="I47" s="1529"/>
      <c r="J47" s="1545"/>
      <c r="K47" s="1551"/>
      <c r="L47" s="1529"/>
      <c r="M47" s="1529"/>
      <c r="N47" s="1529"/>
      <c r="O47" s="1545"/>
      <c r="P47" s="1551"/>
      <c r="Q47" s="1529"/>
      <c r="R47" s="1529"/>
      <c r="S47" s="1529"/>
      <c r="T47" s="1545"/>
      <c r="U47" s="1532"/>
    </row>
    <row r="48" spans="2:21" x14ac:dyDescent="0.2">
      <c r="B48" s="977" t="s">
        <v>1556</v>
      </c>
      <c r="C48" s="977" t="s">
        <v>840</v>
      </c>
      <c r="D48" s="877"/>
      <c r="E48" s="877"/>
      <c r="F48" s="882"/>
      <c r="G48" s="1530">
        <f>SUM(G36,G40,G46)</f>
        <v>10784.434496347036</v>
      </c>
      <c r="H48" s="1530">
        <f t="shared" ref="H48:U48" si="29">SUM(H36,H40,H46)</f>
        <v>56745.2761043379</v>
      </c>
      <c r="I48" s="1530">
        <f t="shared" si="29"/>
        <v>69938.298528995423</v>
      </c>
      <c r="J48" s="1531">
        <f t="shared" si="29"/>
        <v>77970.630953652973</v>
      </c>
      <c r="K48" s="1552">
        <f t="shared" si="29"/>
        <v>215438.64008333333</v>
      </c>
      <c r="L48" s="1530">
        <f t="shared" si="29"/>
        <v>150717.89182179872</v>
      </c>
      <c r="M48" s="1530">
        <f t="shared" si="29"/>
        <v>55925.48070578833</v>
      </c>
      <c r="N48" s="1530">
        <f t="shared" si="29"/>
        <v>126218.94182896652</v>
      </c>
      <c r="O48" s="1531">
        <f t="shared" si="29"/>
        <v>46426.530712956112</v>
      </c>
      <c r="P48" s="1552">
        <f t="shared" si="29"/>
        <v>379288.84506950976</v>
      </c>
      <c r="Q48" s="1530">
        <f t="shared" si="29"/>
        <v>205859.08086519237</v>
      </c>
      <c r="R48" s="1530">
        <f t="shared" si="29"/>
        <v>81201.397779102044</v>
      </c>
      <c r="S48" s="1530">
        <f t="shared" si="29"/>
        <v>158931.56789501852</v>
      </c>
      <c r="T48" s="1531">
        <f t="shared" si="29"/>
        <v>84136.958043364357</v>
      </c>
      <c r="U48" s="1536">
        <f t="shared" si="29"/>
        <v>530129.00458267727</v>
      </c>
    </row>
    <row r="49" spans="2:21" x14ac:dyDescent="0.2">
      <c r="B49" s="899"/>
      <c r="C49" s="899"/>
      <c r="F49" s="880"/>
      <c r="G49" s="1529"/>
      <c r="H49" s="1529"/>
      <c r="I49" s="1529"/>
      <c r="J49" s="1545"/>
      <c r="K49" s="1551"/>
      <c r="L49" s="1529"/>
      <c r="M49" s="1529"/>
      <c r="N49" s="1529"/>
      <c r="O49" s="1545"/>
      <c r="P49" s="1551"/>
      <c r="Q49" s="1529"/>
      <c r="R49" s="1529"/>
      <c r="S49" s="1529"/>
      <c r="T49" s="1545"/>
      <c r="U49" s="1532"/>
    </row>
    <row r="50" spans="2:21" x14ac:dyDescent="0.2">
      <c r="B50" s="899" t="s">
        <v>1557</v>
      </c>
      <c r="C50" s="899" t="s">
        <v>841</v>
      </c>
      <c r="F50" s="881"/>
      <c r="G50" s="1529">
        <f>Assumptions!E151+Assumptions!E153</f>
        <v>45000</v>
      </c>
      <c r="H50" s="1529">
        <f>G51</f>
        <v>55784.434496347036</v>
      </c>
      <c r="I50" s="1529">
        <f t="shared" ref="I50:J50" si="30">H51</f>
        <v>112529.71060068494</v>
      </c>
      <c r="J50" s="1545">
        <f t="shared" si="30"/>
        <v>182468.00912968034</v>
      </c>
      <c r="K50" s="1551">
        <f>G50</f>
        <v>45000</v>
      </c>
      <c r="L50" s="1529">
        <f>J51</f>
        <v>260438.6400833333</v>
      </c>
      <c r="M50" s="1529">
        <f>L51</f>
        <v>411156.531905132</v>
      </c>
      <c r="N50" s="1529">
        <f t="shared" ref="N50:O50" si="31">M51</f>
        <v>467082.01261092036</v>
      </c>
      <c r="O50" s="1545">
        <f t="shared" si="31"/>
        <v>593300.95443988685</v>
      </c>
      <c r="P50" s="1551">
        <f>K51</f>
        <v>260438.6400833333</v>
      </c>
      <c r="Q50" s="1529">
        <f>O51</f>
        <v>639727.48515284294</v>
      </c>
      <c r="R50" s="1529">
        <f>Q51</f>
        <v>845586.56601803529</v>
      </c>
      <c r="S50" s="1529">
        <f t="shared" ref="S50:T50" si="32">R51</f>
        <v>926787.96379713737</v>
      </c>
      <c r="T50" s="1545">
        <f t="shared" si="32"/>
        <v>1085719.5316921559</v>
      </c>
      <c r="U50" s="1532">
        <f>P51</f>
        <v>639727.48515284294</v>
      </c>
    </row>
    <row r="51" spans="2:21" ht="12" thickBot="1" x14ac:dyDescent="0.25">
      <c r="B51" s="1535" t="s">
        <v>1558</v>
      </c>
      <c r="C51" s="1535" t="s">
        <v>842</v>
      </c>
      <c r="D51" s="1533"/>
      <c r="E51" s="1533"/>
      <c r="F51" s="1547"/>
      <c r="G51" s="1534">
        <f>G50+G48</f>
        <v>55784.434496347036</v>
      </c>
      <c r="H51" s="1534">
        <f>H50+H48</f>
        <v>112529.71060068494</v>
      </c>
      <c r="I51" s="1534">
        <f t="shared" ref="I51:J51" si="33">I50+I48</f>
        <v>182468.00912968034</v>
      </c>
      <c r="J51" s="1548">
        <f t="shared" si="33"/>
        <v>260438.6400833333</v>
      </c>
      <c r="K51" s="1553">
        <f>J51</f>
        <v>260438.6400833333</v>
      </c>
      <c r="L51" s="1534">
        <f>L50+L48</f>
        <v>411156.531905132</v>
      </c>
      <c r="M51" s="1534">
        <f>M50+M48</f>
        <v>467082.01261092036</v>
      </c>
      <c r="N51" s="1534">
        <f t="shared" ref="N51:O51" si="34">N50+N48</f>
        <v>593300.95443988685</v>
      </c>
      <c r="O51" s="1548">
        <f t="shared" si="34"/>
        <v>639727.48515284294</v>
      </c>
      <c r="P51" s="1553">
        <f>O51</f>
        <v>639727.48515284294</v>
      </c>
      <c r="Q51" s="1534">
        <f>Q50+Q48</f>
        <v>845586.56601803529</v>
      </c>
      <c r="R51" s="1534">
        <f>R50+R48</f>
        <v>926787.96379713737</v>
      </c>
      <c r="S51" s="1534">
        <f t="shared" ref="S51:T51" si="35">S50+S48</f>
        <v>1085719.5316921559</v>
      </c>
      <c r="T51" s="1548">
        <f t="shared" si="35"/>
        <v>1169856.4897355202</v>
      </c>
      <c r="U51" s="1537">
        <f>T51</f>
        <v>1169856.4897355202</v>
      </c>
    </row>
    <row r="52" spans="2:21" x14ac:dyDescent="0.2"/>
    <row r="53" spans="2:21"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28487-78E5-4839-9BC1-427A18DBB246}">
  <sheetPr>
    <tabColor rgb="FF00587A"/>
  </sheetPr>
  <dimension ref="A1:S49"/>
  <sheetViews>
    <sheetView showGridLines="0" workbookViewId="0"/>
  </sheetViews>
  <sheetFormatPr defaultColWidth="0" defaultRowHeight="11.25" zeroHeight="1" x14ac:dyDescent="0.2"/>
  <cols>
    <col min="1" max="1" width="4.7109375" style="741" customWidth="1"/>
    <col min="2" max="2" width="30.28515625" style="741" customWidth="1"/>
    <col min="3" max="3" width="30.28515625" style="741" hidden="1" customWidth="1"/>
    <col min="4" max="7" width="8.85546875" style="741" hidden="1" customWidth="1"/>
    <col min="8" max="8" width="2.7109375" style="741" customWidth="1"/>
    <col min="9" max="9" width="4.7109375" style="741" customWidth="1"/>
    <col min="10" max="10" width="2.7109375" style="741" customWidth="1"/>
    <col min="11" max="16" width="8.85546875" style="741" customWidth="1"/>
    <col min="17" max="18" width="4.7109375" style="741" customWidth="1"/>
    <col min="19" max="19" width="0" style="741" hidden="1" customWidth="1"/>
    <col min="20" max="16384" width="8.85546875" style="741" hidden="1"/>
  </cols>
  <sheetData>
    <row r="1" spans="1:16" x14ac:dyDescent="0.2">
      <c r="A1" s="1309"/>
      <c r="B1" s="1309"/>
      <c r="C1" s="1309"/>
      <c r="D1" s="1309"/>
      <c r="E1" s="1309"/>
      <c r="F1" s="1309"/>
      <c r="G1" s="1309"/>
      <c r="H1" s="1309"/>
      <c r="I1" s="1309"/>
      <c r="J1" s="1309"/>
      <c r="K1" s="1309"/>
      <c r="L1" s="1309"/>
      <c r="M1" s="1309"/>
      <c r="N1" s="1309"/>
      <c r="O1" s="1309"/>
      <c r="P1" s="1309"/>
    </row>
    <row r="2" spans="1:16" x14ac:dyDescent="0.2">
      <c r="A2" s="1309"/>
      <c r="B2" s="1309"/>
      <c r="C2" s="1309"/>
      <c r="D2" s="1309"/>
      <c r="E2" s="1309"/>
      <c r="F2" s="1309"/>
      <c r="G2" s="1309"/>
      <c r="H2" s="1309"/>
      <c r="I2" s="1309"/>
      <c r="J2" s="1309"/>
      <c r="K2" s="1309"/>
      <c r="L2" s="1309"/>
      <c r="M2" s="1309"/>
      <c r="N2" s="1309"/>
      <c r="O2" s="1309"/>
      <c r="P2" s="1309"/>
    </row>
    <row r="3" spans="1:16" ht="12.75" x14ac:dyDescent="0.2">
      <c r="A3" s="1309"/>
      <c r="B3" s="1310" t="s">
        <v>712</v>
      </c>
      <c r="C3" s="1310" t="s">
        <v>764</v>
      </c>
      <c r="D3" s="1309"/>
      <c r="E3" s="1309"/>
      <c r="F3" s="1309"/>
      <c r="G3" s="1309"/>
      <c r="H3" s="1309"/>
      <c r="I3" s="1311"/>
      <c r="J3" s="1311"/>
      <c r="K3" s="1311"/>
      <c r="L3" s="1311"/>
      <c r="M3" s="1311"/>
      <c r="N3" s="1309"/>
      <c r="O3" s="1309"/>
      <c r="P3" s="1309"/>
    </row>
    <row r="4" spans="1:16" s="934" customFormat="1" x14ac:dyDescent="0.2"/>
    <row r="5" spans="1:16" s="934" customFormat="1" ht="19.5" customHeight="1" x14ac:dyDescent="0.2">
      <c r="B5" s="1629" t="s">
        <v>1431</v>
      </c>
      <c r="C5" s="1477" t="s">
        <v>1431</v>
      </c>
      <c r="D5" s="1649" t="s">
        <v>1205</v>
      </c>
      <c r="E5" s="1649"/>
      <c r="F5" s="1649"/>
      <c r="G5" s="1649"/>
      <c r="K5" s="1650" t="s">
        <v>1587</v>
      </c>
      <c r="L5" s="1650"/>
      <c r="M5" s="1650"/>
      <c r="N5" s="1650"/>
      <c r="O5" s="1650"/>
    </row>
    <row r="6" spans="1:16" s="934" customFormat="1" x14ac:dyDescent="0.2">
      <c r="D6" s="487">
        <f t="shared" ref="D6:E6" si="0">E6-1</f>
        <v>2026</v>
      </c>
      <c r="E6" s="487">
        <f t="shared" si="0"/>
        <v>2027</v>
      </c>
      <c r="F6" s="487">
        <f>G6-1</f>
        <v>2028</v>
      </c>
      <c r="G6" s="487">
        <v>2029</v>
      </c>
      <c r="K6" s="487">
        <f>Assumptions!E14</f>
        <v>2025</v>
      </c>
      <c r="L6" s="487">
        <f>K6+1</f>
        <v>2026</v>
      </c>
      <c r="M6" s="487">
        <f t="shared" ref="M6:O6" si="1">L6+1</f>
        <v>2027</v>
      </c>
      <c r="N6" s="487">
        <f t="shared" si="1"/>
        <v>2028</v>
      </c>
      <c r="O6" s="487">
        <f t="shared" si="1"/>
        <v>2029</v>
      </c>
    </row>
    <row r="7" spans="1:16" s="934" customFormat="1" x14ac:dyDescent="0.2">
      <c r="B7" s="937" t="s">
        <v>1588</v>
      </c>
      <c r="C7" s="937" t="s">
        <v>1408</v>
      </c>
      <c r="D7" s="1312">
        <v>0</v>
      </c>
      <c r="E7" s="1312">
        <v>0</v>
      </c>
      <c r="F7" s="1312">
        <v>0</v>
      </c>
      <c r="G7" s="1312">
        <v>0</v>
      </c>
      <c r="H7" s="1121"/>
      <c r="I7" s="1121"/>
      <c r="J7" s="1121"/>
      <c r="K7" s="1313">
        <f>Assumptions!H68</f>
        <v>1290172.5</v>
      </c>
      <c r="L7" s="1313">
        <f>Assumptions!I68</f>
        <v>2231849.4412499997</v>
      </c>
      <c r="M7" s="1313">
        <f>Assumptions!J68</f>
        <v>2997150.6146546239</v>
      </c>
      <c r="N7" s="1313">
        <f>Assumptions!K68</f>
        <v>3715267.9019258721</v>
      </c>
      <c r="O7" s="1313">
        <f>Assumptions!L68</f>
        <v>4605446.0912273098</v>
      </c>
    </row>
    <row r="8" spans="1:16" s="934" customFormat="1" x14ac:dyDescent="0.2">
      <c r="B8" s="937" t="s">
        <v>1409</v>
      </c>
      <c r="C8" s="937" t="s">
        <v>1409</v>
      </c>
      <c r="D8" s="1312">
        <v>0</v>
      </c>
      <c r="E8" s="1312">
        <v>0</v>
      </c>
      <c r="F8" s="1312">
        <v>0</v>
      </c>
      <c r="G8" s="1312">
        <v>0</v>
      </c>
      <c r="H8" s="1121"/>
      <c r="I8" s="1121"/>
      <c r="J8" s="1121"/>
      <c r="K8" s="1313">
        <f>SUM(Assumptions!H73:H74)</f>
        <v>477363.82500000001</v>
      </c>
      <c r="L8" s="1313">
        <f>SUM(Assumptions!I73:I74)</f>
        <v>825784.29326249985</v>
      </c>
      <c r="M8" s="1313">
        <f>SUM(Assumptions!J73:J74)</f>
        <v>1108945.7274222109</v>
      </c>
      <c r="N8" s="1313">
        <f>SUM(Assumptions!K73:K74)</f>
        <v>1374649.1237125725</v>
      </c>
      <c r="O8" s="1313">
        <f>SUM(Assumptions!L73:L74)</f>
        <v>1704015.0537541045</v>
      </c>
    </row>
    <row r="9" spans="1:16" s="934" customFormat="1" x14ac:dyDescent="0.2">
      <c r="B9" s="937" t="s">
        <v>607</v>
      </c>
      <c r="C9" s="937" t="s">
        <v>607</v>
      </c>
      <c r="D9" s="1312"/>
      <c r="E9" s="1312"/>
      <c r="F9" s="1312"/>
      <c r="G9" s="1312"/>
      <c r="H9" s="1121"/>
      <c r="I9" s="1121"/>
      <c r="J9" s="1121"/>
      <c r="K9" s="1313">
        <f>Assumptions!H75</f>
        <v>0</v>
      </c>
      <c r="L9" s="1313">
        <f>Assumptions!I75</f>
        <v>0</v>
      </c>
      <c r="M9" s="1313">
        <f>Assumptions!J75</f>
        <v>0</v>
      </c>
      <c r="N9" s="1313">
        <f>Assumptions!K75</f>
        <v>0</v>
      </c>
      <c r="O9" s="1313">
        <f>Assumptions!L75</f>
        <v>0</v>
      </c>
    </row>
    <row r="10" spans="1:16" s="934" customFormat="1" x14ac:dyDescent="0.2">
      <c r="B10" s="937" t="s">
        <v>1410</v>
      </c>
      <c r="C10" s="945" t="s">
        <v>1410</v>
      </c>
      <c r="D10" s="1314">
        <v>0</v>
      </c>
      <c r="E10" s="1314">
        <v>0</v>
      </c>
      <c r="F10" s="1314">
        <v>0</v>
      </c>
      <c r="G10" s="1314">
        <v>0</v>
      </c>
      <c r="H10" s="1384"/>
      <c r="I10" s="1384"/>
      <c r="J10" s="1384"/>
      <c r="K10" s="1315">
        <f>Assumptions!H77+Assumptions!H116+Assumptions!H137</f>
        <v>994987.70499999996</v>
      </c>
      <c r="L10" s="1315">
        <f>Assumptions!I77+Assumptions!I116+Assumptions!I137</f>
        <v>1626352.3370424996</v>
      </c>
      <c r="M10" s="1315">
        <f>Assumptions!J77+Assumptions!J116+Assumptions!J137</f>
        <v>2162092.0852703722</v>
      </c>
      <c r="N10" s="1315">
        <f>Assumptions!K77+Assumptions!K116+Assumptions!K137</f>
        <v>2619391.7169031538</v>
      </c>
      <c r="O10" s="1315">
        <f>Assumptions!L77+Assumptions!L116+Assumptions!L137</f>
        <v>3182832.2941038553</v>
      </c>
    </row>
    <row r="11" spans="1:16" x14ac:dyDescent="0.2"/>
    <row r="12" spans="1:16" x14ac:dyDescent="0.2">
      <c r="B12" s="487" t="s">
        <v>1589</v>
      </c>
      <c r="C12" s="487" t="s">
        <v>1411</v>
      </c>
      <c r="D12" s="1121"/>
      <c r="E12" s="1121"/>
      <c r="F12" s="1121"/>
      <c r="G12" s="1121"/>
      <c r="H12" s="1121"/>
      <c r="I12" s="1121"/>
      <c r="J12" s="1121"/>
      <c r="K12" s="1121"/>
      <c r="L12" s="1121"/>
      <c r="M12" s="1121"/>
      <c r="N12" s="1121"/>
      <c r="O12" s="1121"/>
    </row>
    <row r="13" spans="1:16" x14ac:dyDescent="0.2">
      <c r="D13" s="1121"/>
      <c r="E13" s="1121"/>
      <c r="F13" s="1121"/>
      <c r="G13" s="1121"/>
      <c r="H13" s="1121"/>
      <c r="I13" s="1121"/>
      <c r="J13" s="1121"/>
      <c r="K13" s="1121"/>
      <c r="L13" s="1121"/>
      <c r="M13" s="1121"/>
      <c r="N13" s="1121"/>
      <c r="O13" s="1121"/>
    </row>
    <row r="14" spans="1:16" x14ac:dyDescent="0.2">
      <c r="B14" s="937" t="s">
        <v>8</v>
      </c>
      <c r="C14" s="937" t="s">
        <v>1412</v>
      </c>
      <c r="D14" s="1312">
        <v>0</v>
      </c>
      <c r="E14" s="1312">
        <v>0</v>
      </c>
      <c r="F14" s="1312">
        <v>0</v>
      </c>
      <c r="G14" s="1312">
        <v>0</v>
      </c>
      <c r="H14" s="1121"/>
      <c r="I14" s="1121"/>
      <c r="J14" s="1121"/>
      <c r="K14" s="1121">
        <f>K7/365*K32</f>
        <v>24743.034246575342</v>
      </c>
      <c r="L14" s="1121">
        <f t="shared" ref="L14:O14" si="2">L7/365*L32</f>
        <v>42802.592023972597</v>
      </c>
      <c r="M14" s="1121">
        <f t="shared" si="2"/>
        <v>57479.600828992785</v>
      </c>
      <c r="N14" s="1121">
        <f t="shared" si="2"/>
        <v>71251.713187619462</v>
      </c>
      <c r="O14" s="1121">
        <f t="shared" si="2"/>
        <v>88323.62366737306</v>
      </c>
    </row>
    <row r="15" spans="1:16" x14ac:dyDescent="0.2">
      <c r="B15" s="937" t="s">
        <v>1590</v>
      </c>
      <c r="C15" s="937" t="s">
        <v>7</v>
      </c>
      <c r="D15" s="1312">
        <v>0</v>
      </c>
      <c r="E15" s="1312">
        <v>0</v>
      </c>
      <c r="F15" s="1312">
        <v>0</v>
      </c>
      <c r="G15" s="1312">
        <v>0</v>
      </c>
      <c r="H15" s="1121"/>
      <c r="I15" s="1121"/>
      <c r="J15" s="1121"/>
      <c r="K15" s="1121">
        <f>K9/365*K33</f>
        <v>0</v>
      </c>
      <c r="L15" s="1121">
        <f t="shared" ref="L15:N15" si="3">L9/365*L33</f>
        <v>0</v>
      </c>
      <c r="M15" s="1121">
        <f t="shared" si="3"/>
        <v>0</v>
      </c>
      <c r="N15" s="1121">
        <f t="shared" si="3"/>
        <v>0</v>
      </c>
      <c r="O15" s="1121">
        <f>O9/365*O33</f>
        <v>0</v>
      </c>
    </row>
    <row r="16" spans="1:16" x14ac:dyDescent="0.2">
      <c r="B16" s="434" t="s">
        <v>603</v>
      </c>
      <c r="C16" s="434" t="s">
        <v>603</v>
      </c>
      <c r="D16" s="1312">
        <v>0</v>
      </c>
      <c r="E16" s="1312">
        <v>0</v>
      </c>
      <c r="F16" s="1312">
        <v>0</v>
      </c>
      <c r="G16" s="1312">
        <v>0</v>
      </c>
      <c r="H16" s="1121"/>
      <c r="I16" s="1121"/>
      <c r="J16" s="1121"/>
      <c r="K16" s="1121">
        <f>K34*K7</f>
        <v>51606.9</v>
      </c>
      <c r="L16" s="1121">
        <f t="shared" ref="L16:O16" si="4">L34*L7</f>
        <v>89273.977649999986</v>
      </c>
      <c r="M16" s="1121">
        <f t="shared" si="4"/>
        <v>119886.02458618495</v>
      </c>
      <c r="N16" s="1121">
        <f t="shared" si="4"/>
        <v>148610.71607703489</v>
      </c>
      <c r="O16" s="1121">
        <f t="shared" si="4"/>
        <v>184217.84364909239</v>
      </c>
    </row>
    <row r="17" spans="2:15" x14ac:dyDescent="0.2">
      <c r="B17" s="1449" t="s">
        <v>1591</v>
      </c>
      <c r="C17" s="439" t="s">
        <v>1413</v>
      </c>
      <c r="D17" s="1513">
        <v>0</v>
      </c>
      <c r="E17" s="1513">
        <v>0</v>
      </c>
      <c r="F17" s="1513">
        <v>0</v>
      </c>
      <c r="G17" s="1513">
        <v>0</v>
      </c>
      <c r="H17" s="1384"/>
      <c r="I17" s="1384"/>
      <c r="J17" s="1384"/>
      <c r="K17" s="1332">
        <f>K35*K7</f>
        <v>6450.8625000000002</v>
      </c>
      <c r="L17" s="1332">
        <f t="shared" ref="L17:O17" si="5">L35*L7</f>
        <v>11159.247206249998</v>
      </c>
      <c r="M17" s="1332">
        <f t="shared" si="5"/>
        <v>14985.753073273119</v>
      </c>
      <c r="N17" s="1332">
        <f t="shared" si="5"/>
        <v>18576.339509629361</v>
      </c>
      <c r="O17" s="1332">
        <f t="shared" si="5"/>
        <v>23027.230456136549</v>
      </c>
    </row>
    <row r="18" spans="2:15" x14ac:dyDescent="0.2">
      <c r="B18" s="487" t="s">
        <v>1414</v>
      </c>
      <c r="C18" s="487" t="s">
        <v>1414</v>
      </c>
      <c r="D18" s="1121"/>
      <c r="E18" s="1121"/>
      <c r="F18" s="1121"/>
      <c r="G18" s="1121"/>
      <c r="H18" s="1121"/>
      <c r="I18" s="1121"/>
      <c r="J18" s="1121"/>
      <c r="K18" s="1116">
        <f>SUM(K14:K17)</f>
        <v>82800.796746575346</v>
      </c>
      <c r="L18" s="1116">
        <f t="shared" ref="L18:O18" si="6">SUM(L14:L17)</f>
        <v>143235.81688022258</v>
      </c>
      <c r="M18" s="1116">
        <f t="shared" si="6"/>
        <v>192351.37848845083</v>
      </c>
      <c r="N18" s="1116">
        <f t="shared" si="6"/>
        <v>238438.7687742837</v>
      </c>
      <c r="O18" s="1116">
        <f t="shared" si="6"/>
        <v>295568.69777260203</v>
      </c>
    </row>
    <row r="19" spans="2:15" x14ac:dyDescent="0.2">
      <c r="B19" s="934"/>
      <c r="C19" s="934"/>
      <c r="D19" s="1121"/>
      <c r="E19" s="1121"/>
      <c r="F19" s="1121"/>
      <c r="G19" s="1121"/>
      <c r="H19" s="1121"/>
      <c r="I19" s="1121"/>
      <c r="J19" s="1121"/>
      <c r="K19" s="1121"/>
      <c r="L19" s="1121"/>
      <c r="M19" s="1121"/>
      <c r="N19" s="1121"/>
      <c r="O19" s="1121"/>
    </row>
    <row r="20" spans="2:15" x14ac:dyDescent="0.2">
      <c r="B20" s="487" t="s">
        <v>1592</v>
      </c>
      <c r="C20" s="487" t="s">
        <v>816</v>
      </c>
      <c r="D20" s="1121"/>
      <c r="E20" s="1121"/>
      <c r="F20" s="1121"/>
      <c r="G20" s="1121"/>
      <c r="H20" s="1121"/>
      <c r="I20" s="1121"/>
      <c r="J20" s="1121"/>
      <c r="K20" s="1121"/>
      <c r="L20" s="1121"/>
      <c r="M20" s="1121"/>
      <c r="N20" s="1121"/>
      <c r="O20" s="1121"/>
    </row>
    <row r="21" spans="2:15" x14ac:dyDescent="0.2">
      <c r="B21" s="52" t="s">
        <v>1593</v>
      </c>
      <c r="C21" s="937" t="s">
        <v>1456</v>
      </c>
      <c r="D21" s="1312">
        <v>0</v>
      </c>
      <c r="E21" s="1312">
        <v>0</v>
      </c>
      <c r="F21" s="1312">
        <v>0</v>
      </c>
      <c r="G21" s="1312">
        <v>0</v>
      </c>
      <c r="H21" s="1121"/>
      <c r="I21" s="1121"/>
      <c r="J21" s="1121"/>
      <c r="K21" s="1121">
        <f>K10/365*K37</f>
        <v>54519.874246575338</v>
      </c>
      <c r="L21" s="1121">
        <f t="shared" ref="L21:O21" si="7">L10/365*L37</f>
        <v>89115.196550273948</v>
      </c>
      <c r="M21" s="1121">
        <f t="shared" si="7"/>
        <v>118470.7991928971</v>
      </c>
      <c r="N21" s="1121">
        <f t="shared" si="7"/>
        <v>143528.31325496733</v>
      </c>
      <c r="O21" s="1121">
        <f t="shared" si="7"/>
        <v>174401.76953993726</v>
      </c>
    </row>
    <row r="22" spans="2:15" x14ac:dyDescent="0.2">
      <c r="B22" s="52" t="s">
        <v>1594</v>
      </c>
      <c r="C22" s="434" t="s">
        <v>1420</v>
      </c>
      <c r="D22" s="1312">
        <v>0</v>
      </c>
      <c r="E22" s="1312">
        <v>0</v>
      </c>
      <c r="F22" s="1312">
        <v>0</v>
      </c>
      <c r="G22" s="1312">
        <v>0</v>
      </c>
      <c r="H22" s="1121"/>
      <c r="I22" s="1121"/>
      <c r="J22" s="1121"/>
      <c r="K22" s="1121">
        <f>K38*K7</f>
        <v>25803.45</v>
      </c>
      <c r="L22" s="1121">
        <f t="shared" ref="L22:O22" si="8">L38*L7</f>
        <v>44636.988824999993</v>
      </c>
      <c r="M22" s="1121">
        <f t="shared" si="8"/>
        <v>59943.012293092477</v>
      </c>
      <c r="N22" s="1121">
        <f t="shared" si="8"/>
        <v>74305.358038517443</v>
      </c>
      <c r="O22" s="1121">
        <f t="shared" si="8"/>
        <v>92108.921824546196</v>
      </c>
    </row>
    <row r="23" spans="2:15" x14ac:dyDescent="0.2">
      <c r="B23" s="1316" t="s">
        <v>1595</v>
      </c>
      <c r="C23" s="439" t="s">
        <v>1415</v>
      </c>
      <c r="D23" s="1513">
        <v>0</v>
      </c>
      <c r="E23" s="1513">
        <v>0</v>
      </c>
      <c r="F23" s="1513">
        <v>0</v>
      </c>
      <c r="G23" s="1513">
        <v>0</v>
      </c>
      <c r="H23" s="1384"/>
      <c r="I23" s="1384"/>
      <c r="J23" s="1384"/>
      <c r="K23" s="1384">
        <f>K39*K7</f>
        <v>45156.037500000006</v>
      </c>
      <c r="L23" s="1332">
        <f t="shared" ref="L23:O23" si="9">L39*L7</f>
        <v>78114.730443749999</v>
      </c>
      <c r="M23" s="1332">
        <f t="shared" si="9"/>
        <v>104900.27151291184</v>
      </c>
      <c r="N23" s="1332">
        <f t="shared" si="9"/>
        <v>130034.37656740553</v>
      </c>
      <c r="O23" s="1332">
        <f t="shared" si="9"/>
        <v>161190.61319295585</v>
      </c>
    </row>
    <row r="24" spans="2:15" x14ac:dyDescent="0.2">
      <c r="B24" s="487" t="s">
        <v>1596</v>
      </c>
      <c r="C24" s="487" t="s">
        <v>1416</v>
      </c>
      <c r="D24" s="1121"/>
      <c r="E24" s="1121"/>
      <c r="F24" s="1121"/>
      <c r="G24" s="1121"/>
      <c r="H24" s="1121"/>
      <c r="I24" s="1121"/>
      <c r="J24" s="1121"/>
      <c r="K24" s="1116">
        <f>SUM(K21:K23)</f>
        <v>125479.36174657535</v>
      </c>
      <c r="L24" s="1116">
        <f t="shared" ref="L24:O24" si="10">SUM(L21:L23)</f>
        <v>211866.91581902391</v>
      </c>
      <c r="M24" s="1116">
        <f t="shared" si="10"/>
        <v>283314.08299890143</v>
      </c>
      <c r="N24" s="1116">
        <f t="shared" si="10"/>
        <v>347868.04786089028</v>
      </c>
      <c r="O24" s="1116">
        <f t="shared" si="10"/>
        <v>427701.30455743929</v>
      </c>
    </row>
    <row r="25" spans="2:15" x14ac:dyDescent="0.2">
      <c r="B25" s="934"/>
      <c r="C25" s="934"/>
      <c r="D25" s="1121"/>
      <c r="E25" s="1121"/>
      <c r="F25" s="1121"/>
      <c r="G25" s="1121"/>
      <c r="H25" s="1121"/>
      <c r="I25" s="1121"/>
      <c r="J25" s="1121"/>
      <c r="K25" s="1121"/>
      <c r="L25" s="1121"/>
      <c r="M25" s="1121"/>
      <c r="N25" s="1121"/>
      <c r="O25" s="1121"/>
    </row>
    <row r="26" spans="2:15" x14ac:dyDescent="0.2">
      <c r="B26" s="1317" t="s">
        <v>756</v>
      </c>
      <c r="C26" s="1039" t="s">
        <v>1417</v>
      </c>
      <c r="D26" s="1513">
        <v>0</v>
      </c>
      <c r="E26" s="1513">
        <v>0</v>
      </c>
      <c r="F26" s="1513">
        <v>0</v>
      </c>
      <c r="G26" s="1513">
        <v>0</v>
      </c>
      <c r="H26" s="1384"/>
      <c r="I26" s="1384"/>
      <c r="J26" s="1384"/>
      <c r="K26" s="1108">
        <f>K18-K24</f>
        <v>-42678.565000000002</v>
      </c>
      <c r="L26" s="1334">
        <f t="shared" ref="L26:O26" si="11">L18-L24</f>
        <v>-68631.098938801326</v>
      </c>
      <c r="M26" s="1334">
        <f t="shared" si="11"/>
        <v>-90962.704510450596</v>
      </c>
      <c r="N26" s="1334">
        <f t="shared" si="11"/>
        <v>-109429.27908660658</v>
      </c>
      <c r="O26" s="1334">
        <f t="shared" si="11"/>
        <v>-132132.60678483726</v>
      </c>
    </row>
    <row r="27" spans="2:15" x14ac:dyDescent="0.2">
      <c r="B27" s="1299" t="s">
        <v>1418</v>
      </c>
      <c r="C27" s="1299" t="s">
        <v>1418</v>
      </c>
      <c r="D27" s="1121"/>
      <c r="E27" s="1121"/>
      <c r="F27" s="1121"/>
      <c r="G27" s="1121"/>
      <c r="H27" s="1121"/>
      <c r="I27" s="1121"/>
      <c r="J27" s="1121"/>
      <c r="K27" s="915">
        <f>K26/K7</f>
        <v>-3.3079735461730896E-2</v>
      </c>
      <c r="L27" s="915">
        <f t="shared" ref="L27:O27" si="12">L26/L7</f>
        <v>-3.0750774523734391E-2</v>
      </c>
      <c r="M27" s="915">
        <f t="shared" si="12"/>
        <v>-3.0349727526433525E-2</v>
      </c>
      <c r="N27" s="915">
        <f t="shared" si="12"/>
        <v>-2.9453940328201381E-2</v>
      </c>
      <c r="O27" s="915">
        <f t="shared" si="12"/>
        <v>-2.8690512095349511E-2</v>
      </c>
    </row>
    <row r="28" spans="2:15" x14ac:dyDescent="0.2">
      <c r="B28" s="934"/>
      <c r="C28" s="934"/>
      <c r="D28" s="1121"/>
      <c r="E28" s="1121"/>
      <c r="F28" s="1121"/>
      <c r="G28" s="1121"/>
      <c r="H28" s="1121"/>
      <c r="I28" s="1121"/>
      <c r="J28" s="1121"/>
      <c r="K28" s="1121"/>
      <c r="L28" s="1121"/>
      <c r="M28" s="1121"/>
      <c r="N28" s="1121"/>
      <c r="O28" s="1121"/>
    </row>
    <row r="29" spans="2:15" x14ac:dyDescent="0.2">
      <c r="B29" s="487" t="s">
        <v>1597</v>
      </c>
      <c r="C29" s="487" t="s">
        <v>1419</v>
      </c>
      <c r="D29" s="1121"/>
      <c r="E29" s="1121"/>
      <c r="F29" s="1121"/>
      <c r="G29" s="1121"/>
      <c r="H29" s="1121"/>
      <c r="I29" s="1121"/>
      <c r="J29" s="1121"/>
      <c r="K29" s="1116">
        <f>K26</f>
        <v>-42678.565000000002</v>
      </c>
      <c r="L29" s="1116">
        <f>L26-K26</f>
        <v>-25952.533938801324</v>
      </c>
      <c r="M29" s="1116">
        <f t="shared" ref="M29:O29" si="13">M26-L26</f>
        <v>-22331.60557164927</v>
      </c>
      <c r="N29" s="1116">
        <f t="shared" si="13"/>
        <v>-18466.574576155981</v>
      </c>
      <c r="O29" s="1116">
        <f t="shared" si="13"/>
        <v>-22703.327698230685</v>
      </c>
    </row>
    <row r="30" spans="2:15" x14ac:dyDescent="0.2">
      <c r="B30" s="934"/>
      <c r="C30" s="934"/>
      <c r="D30" s="1121"/>
      <c r="E30" s="1121"/>
      <c r="F30" s="1121"/>
      <c r="G30" s="1121"/>
      <c r="H30" s="1121"/>
      <c r="I30" s="1121"/>
      <c r="J30" s="1121"/>
      <c r="K30" s="1121"/>
      <c r="L30" s="1121"/>
      <c r="M30" s="1121"/>
      <c r="N30" s="1121"/>
      <c r="O30" s="1121"/>
    </row>
    <row r="31" spans="2:15" x14ac:dyDescent="0.2">
      <c r="B31" s="1318" t="s">
        <v>1598</v>
      </c>
      <c r="C31" s="1318" t="s">
        <v>1430</v>
      </c>
      <c r="D31" s="1121"/>
      <c r="E31" s="1121"/>
      <c r="F31" s="1121"/>
      <c r="G31" s="1121"/>
      <c r="H31" s="1121"/>
      <c r="I31" s="1121"/>
      <c r="J31" s="1121"/>
      <c r="K31" s="1121"/>
      <c r="L31" s="1121"/>
      <c r="M31" s="1121"/>
      <c r="N31" s="1121"/>
      <c r="O31" s="1121"/>
    </row>
    <row r="32" spans="2:15" x14ac:dyDescent="0.2">
      <c r="B32" s="1319" t="s">
        <v>1605</v>
      </c>
      <c r="C32" s="1501" t="s">
        <v>1421</v>
      </c>
      <c r="D32" s="1322"/>
      <c r="E32" s="1322"/>
      <c r="F32" s="1322"/>
      <c r="G32" s="1322"/>
      <c r="H32" s="1322"/>
      <c r="I32" s="1322"/>
      <c r="J32" s="1322"/>
      <c r="K32" s="1405">
        <v>7</v>
      </c>
      <c r="L32" s="1322">
        <f>K32</f>
        <v>7</v>
      </c>
      <c r="M32" s="1322">
        <f t="shared" ref="M32:O32" si="14">L32</f>
        <v>7</v>
      </c>
      <c r="N32" s="1322">
        <f t="shared" si="14"/>
        <v>7</v>
      </c>
      <c r="O32" s="1323">
        <f t="shared" si="14"/>
        <v>7</v>
      </c>
    </row>
    <row r="33" spans="2:15" x14ac:dyDescent="0.2">
      <c r="B33" s="1320" t="s">
        <v>1599</v>
      </c>
      <c r="C33" s="1502" t="s">
        <v>1422</v>
      </c>
      <c r="D33" s="1324"/>
      <c r="E33" s="1324"/>
      <c r="F33" s="1324"/>
      <c r="G33" s="1324"/>
      <c r="H33" s="1324"/>
      <c r="I33" s="1324"/>
      <c r="J33" s="1324"/>
      <c r="K33" s="1406">
        <v>90</v>
      </c>
      <c r="L33" s="1324">
        <f>K33</f>
        <v>90</v>
      </c>
      <c r="M33" s="1324">
        <f t="shared" ref="M33:O33" si="15">L33</f>
        <v>90</v>
      </c>
      <c r="N33" s="1324">
        <f t="shared" si="15"/>
        <v>90</v>
      </c>
      <c r="O33" s="1325">
        <f t="shared" si="15"/>
        <v>90</v>
      </c>
    </row>
    <row r="34" spans="2:15" x14ac:dyDescent="0.2">
      <c r="B34" s="1320" t="s">
        <v>1600</v>
      </c>
      <c r="C34" s="1502" t="s">
        <v>603</v>
      </c>
      <c r="D34" s="1324"/>
      <c r="E34" s="1324"/>
      <c r="F34" s="1324"/>
      <c r="G34" s="1324"/>
      <c r="H34" s="1324"/>
      <c r="I34" s="1324"/>
      <c r="J34" s="1324"/>
      <c r="K34" s="1328">
        <v>0.04</v>
      </c>
      <c r="L34" s="1327">
        <f>K34</f>
        <v>0.04</v>
      </c>
      <c r="M34" s="1327">
        <f t="shared" ref="M34:O34" si="16">L34</f>
        <v>0.04</v>
      </c>
      <c r="N34" s="1327">
        <f t="shared" si="16"/>
        <v>0.04</v>
      </c>
      <c r="O34" s="1329">
        <f t="shared" si="16"/>
        <v>0.04</v>
      </c>
    </row>
    <row r="35" spans="2:15" x14ac:dyDescent="0.2">
      <c r="B35" s="1320" t="s">
        <v>1601</v>
      </c>
      <c r="C35" s="1502" t="s">
        <v>1423</v>
      </c>
      <c r="D35" s="1324"/>
      <c r="E35" s="1324"/>
      <c r="F35" s="1324"/>
      <c r="G35" s="1324"/>
      <c r="H35" s="1324"/>
      <c r="I35" s="1324"/>
      <c r="J35" s="1324"/>
      <c r="K35" s="1328">
        <v>5.0000000000000001E-3</v>
      </c>
      <c r="L35" s="1327">
        <f>K35</f>
        <v>5.0000000000000001E-3</v>
      </c>
      <c r="M35" s="1327">
        <f t="shared" ref="M35:O35" si="17">L35</f>
        <v>5.0000000000000001E-3</v>
      </c>
      <c r="N35" s="1327">
        <f t="shared" si="17"/>
        <v>5.0000000000000001E-3</v>
      </c>
      <c r="O35" s="1329">
        <f t="shared" si="17"/>
        <v>5.0000000000000001E-3</v>
      </c>
    </row>
    <row r="36" spans="2:15" x14ac:dyDescent="0.2">
      <c r="B36" s="1320"/>
      <c r="C36" s="1502"/>
      <c r="D36" s="1324"/>
      <c r="E36" s="1324"/>
      <c r="F36" s="1324"/>
      <c r="G36" s="1324"/>
      <c r="H36" s="1324"/>
      <c r="I36" s="1324"/>
      <c r="J36" s="1324"/>
      <c r="K36" s="1324"/>
      <c r="L36" s="1324"/>
      <c r="M36" s="1324"/>
      <c r="N36" s="1324"/>
      <c r="O36" s="1325"/>
    </row>
    <row r="37" spans="2:15" x14ac:dyDescent="0.2">
      <c r="B37" s="1320" t="s">
        <v>1602</v>
      </c>
      <c r="C37" s="1502" t="s">
        <v>1424</v>
      </c>
      <c r="D37" s="1324"/>
      <c r="E37" s="1324"/>
      <c r="F37" s="1324"/>
      <c r="G37" s="1324"/>
      <c r="H37" s="1324"/>
      <c r="I37" s="1324"/>
      <c r="J37" s="1324"/>
      <c r="K37" s="1406">
        <v>20</v>
      </c>
      <c r="L37" s="1324">
        <f>K37</f>
        <v>20</v>
      </c>
      <c r="M37" s="1324">
        <f t="shared" ref="M37:O37" si="18">L37</f>
        <v>20</v>
      </c>
      <c r="N37" s="1324">
        <f t="shared" si="18"/>
        <v>20</v>
      </c>
      <c r="O37" s="1325">
        <f t="shared" si="18"/>
        <v>20</v>
      </c>
    </row>
    <row r="38" spans="2:15" x14ac:dyDescent="0.2">
      <c r="B38" s="1320" t="s">
        <v>1603</v>
      </c>
      <c r="C38" s="1502" t="s">
        <v>1425</v>
      </c>
      <c r="D38" s="1324"/>
      <c r="E38" s="1324"/>
      <c r="F38" s="1324"/>
      <c r="G38" s="1324"/>
      <c r="H38" s="1324"/>
      <c r="I38" s="1324"/>
      <c r="J38" s="1324"/>
      <c r="K38" s="1328">
        <v>0.02</v>
      </c>
      <c r="L38" s="1327">
        <f>K38</f>
        <v>0.02</v>
      </c>
      <c r="M38" s="1327">
        <f t="shared" ref="M38:O38" si="19">L38</f>
        <v>0.02</v>
      </c>
      <c r="N38" s="1327">
        <f t="shared" si="19"/>
        <v>0.02</v>
      </c>
      <c r="O38" s="1329">
        <f t="shared" si="19"/>
        <v>0.02</v>
      </c>
    </row>
    <row r="39" spans="2:15" x14ac:dyDescent="0.2">
      <c r="B39" s="1321" t="s">
        <v>1604</v>
      </c>
      <c r="C39" s="1503" t="s">
        <v>1415</v>
      </c>
      <c r="D39" s="1326"/>
      <c r="E39" s="1326"/>
      <c r="F39" s="1326"/>
      <c r="G39" s="1326"/>
      <c r="H39" s="1326"/>
      <c r="I39" s="1326"/>
      <c r="J39" s="1326"/>
      <c r="K39" s="1407">
        <v>3.5000000000000003E-2</v>
      </c>
      <c r="L39" s="1330">
        <f>K39</f>
        <v>3.5000000000000003E-2</v>
      </c>
      <c r="M39" s="1330">
        <f t="shared" ref="M39:O39" si="20">L39</f>
        <v>3.5000000000000003E-2</v>
      </c>
      <c r="N39" s="1330">
        <f t="shared" si="20"/>
        <v>3.5000000000000003E-2</v>
      </c>
      <c r="O39" s="1331">
        <f t="shared" si="20"/>
        <v>3.5000000000000003E-2</v>
      </c>
    </row>
    <row r="40" spans="2:15" x14ac:dyDescent="0.2">
      <c r="B40" s="934"/>
      <c r="C40" s="934"/>
      <c r="D40" s="1121"/>
      <c r="E40" s="1121"/>
      <c r="F40" s="1121"/>
      <c r="G40" s="1121"/>
      <c r="H40" s="1121"/>
      <c r="I40" s="1121"/>
      <c r="J40" s="1121"/>
      <c r="K40" s="1121"/>
      <c r="L40" s="1121"/>
      <c r="M40" s="1121"/>
      <c r="N40" s="1121"/>
      <c r="O40" s="1121"/>
    </row>
    <row r="41" spans="2:15" x14ac:dyDescent="0.2">
      <c r="B41" s="934"/>
      <c r="C41" s="934"/>
    </row>
    <row r="49" x14ac:dyDescent="0.2"/>
  </sheetData>
  <mergeCells count="2">
    <mergeCell ref="D5:G5"/>
    <mergeCell ref="K5:O5"/>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E88136A29AC4446A2D925265FDA3862" ma:contentTypeVersion="12" ma:contentTypeDescription="Create a new document." ma:contentTypeScope="" ma:versionID="eded9ae825d70d346d8066d256eb2117">
  <xsd:schema xmlns:xsd="http://www.w3.org/2001/XMLSchema" xmlns:xs="http://www.w3.org/2001/XMLSchema" xmlns:p="http://schemas.microsoft.com/office/2006/metadata/properties" xmlns:ns3="aee914db-09e1-445a-8edf-7390f0c635bd" xmlns:ns4="2d6c6213-6465-4c92-8804-da419839cff4" targetNamespace="http://schemas.microsoft.com/office/2006/metadata/properties" ma:root="true" ma:fieldsID="5b2ce48e4ca03d27e34b915cfa0c4add" ns3:_="" ns4:_="">
    <xsd:import namespace="aee914db-09e1-445a-8edf-7390f0c635bd"/>
    <xsd:import namespace="2d6c6213-6465-4c92-8804-da419839cff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e914db-09e1-445a-8edf-7390f0c635bd"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d6c6213-6465-4c92-8804-da419839cff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F3A940-2022-4443-B28F-7338BFCFBB72}">
  <ds:schemaRefs>
    <ds:schemaRef ds:uri="2d6c6213-6465-4c92-8804-da419839cff4"/>
    <ds:schemaRef ds:uri="http://purl.org/dc/elements/1.1/"/>
    <ds:schemaRef ds:uri="aee914db-09e1-445a-8edf-7390f0c635bd"/>
    <ds:schemaRef ds:uri="http://purl.org/dc/dcmitype/"/>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41BA86AE-4D6A-4513-9348-4DEC239E07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e914db-09e1-445a-8edf-7390f0c635bd"/>
    <ds:schemaRef ds:uri="2d6c6213-6465-4c92-8804-da419839cff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C32464-5C17-409C-BCA6-462DAE6DA06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28</vt:i4>
      </vt:variant>
      <vt:variant>
        <vt:lpstr>Pomenované rozsahy</vt:lpstr>
      </vt:variant>
      <vt:variant>
        <vt:i4>11</vt:i4>
      </vt:variant>
    </vt:vector>
  </HeadingPairs>
  <TitlesOfParts>
    <vt:vector size="39" baseType="lpstr">
      <vt:lpstr>Title</vt:lpstr>
      <vt:lpstr>Projections</vt:lpstr>
      <vt:lpstr>P&amp;L_XYZ</vt:lpstr>
      <vt:lpstr>Predpoklady-XYZ</vt:lpstr>
      <vt:lpstr>P&amp;L_Short</vt:lpstr>
      <vt:lpstr>Assumptions</vt:lpstr>
      <vt:lpstr>Cash Flow_Quaterly</vt:lpstr>
      <vt:lpstr>NWC</vt:lpstr>
      <vt:lpstr>Scenario</vt:lpstr>
      <vt:lpstr>Predpoklady_SFR DSS</vt:lpstr>
      <vt:lpstr>Dlhová_služba</vt:lpstr>
      <vt:lpstr>Návratnosť projektu</vt:lpstr>
      <vt:lpstr>Benchmark&gt;&gt;&gt;</vt:lpstr>
      <vt:lpstr>Hárok1</vt:lpstr>
      <vt:lpstr>Dlhová služba</vt:lpstr>
      <vt:lpstr>Podklady-Banka</vt:lpstr>
      <vt:lpstr>Mngmt</vt:lpstr>
      <vt:lpstr>Historická analýza&gt;&gt;&gt;</vt:lpstr>
      <vt:lpstr>Skrátené výkazy</vt:lpstr>
      <vt:lpstr>Sumár</vt:lpstr>
      <vt:lpstr>Čisté aktíva</vt:lpstr>
      <vt:lpstr>Detailné výkazy</vt:lpstr>
      <vt:lpstr>Market</vt:lpstr>
      <vt:lpstr>_Market</vt:lpstr>
      <vt:lpstr>Aktíva</vt:lpstr>
      <vt:lpstr>Pasíva</vt:lpstr>
      <vt:lpstr>Výkaz ziskov a strát</vt:lpstr>
      <vt:lpstr>CAGR SK</vt:lpstr>
      <vt:lpstr>'Dlhová služba'!Názvy_tlače</vt:lpstr>
      <vt:lpstr>'Návratnosť projektu'!Názvy_tlače</vt:lpstr>
      <vt:lpstr>Scenario!Názvy_tlače</vt:lpstr>
      <vt:lpstr>'Dlhová služba'!Oblasť_tlače</vt:lpstr>
      <vt:lpstr>'Návratnosť projektu'!Oblasť_tlače</vt:lpstr>
      <vt:lpstr>Scenario!Oblasť_tlače</vt:lpstr>
      <vt:lpstr>Title!Oblasť_tlače</vt:lpstr>
      <vt:lpstr>'Čisté aktíva'!Units</vt:lpstr>
      <vt:lpstr>Projections!Units</vt:lpstr>
      <vt:lpstr>Units</vt:lpstr>
      <vt:lpstr>Worst</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marek straka</dc:creator>
  <cp:lastModifiedBy>Lukas KOPAC</cp:lastModifiedBy>
  <dcterms:created xsi:type="dcterms:W3CDTF">2017-03-20T08:55:18Z</dcterms:created>
  <dcterms:modified xsi:type="dcterms:W3CDTF">2024-10-03T16:21:15Z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0x010100FE88136A29AC4446A2D925265FDA3862</vt:lpwstr>
  </property>
  <property fmtid="{D5CDD505-2E9C-101B-9397-08002B2CF9AE}" pid="3" name="AuthorIds_UIVersion_1024">
    <vt:lpwstr>14</vt:lpwstr>
  </property>
</Properties>
</file>